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73664C-3C98-4CCC-A6FD-91960F66FA25}" xr6:coauthVersionLast="47" xr6:coauthVersionMax="47" xr10:uidLastSave="{00000000-0000-0000-0000-000000000000}"/>
  <workbookProtection workbookAlgorithmName="SHA-512" workbookHashValue="gxzsbFu2M5UpyiW7LYkfn/WpR2Gt2z0y+7L+dsQiweoBCuWKAsOPwG5cb2MR70mER51YrgQC/BdYfi07V4QQEw==" workbookSaltValue="Cnntsr/GK5EKVTdSl4n+CA==" workbookSpinCount="100000" lockStructure="1"/>
  <bookViews>
    <workbookView xWindow="-26595" yWindow="1110" windowWidth="21600" windowHeight="11385" tabRatio="764" xr2:uid="{00000000-000D-0000-FFFF-FFFF00000000}"/>
  </bookViews>
  <sheets>
    <sheet name="załącznik nr 1 porównawczy" sheetId="16" r:id="rId1"/>
    <sheet name="dynamika" sheetId="15" state="hidden" r:id="rId2"/>
    <sheet name="RZiS" sheetId="9" state="hidden" r:id="rId3"/>
    <sheet name="bilans" sheetId="10" state="hidden" r:id="rId4"/>
    <sheet name="Parametry nakładów i pożyczki" sheetId="8" state="hidden" r:id="rId5"/>
    <sheet name="plan sprzedaży i zakupów " sheetId="1" state="hidden" r:id="rId6"/>
    <sheet name="zmiana kosztów eksploatacyjnych" sheetId="2" state="hidden" r:id="rId7"/>
    <sheet name="przepływy" sheetId="11" state="hidden" r:id="rId8"/>
    <sheet name="wskaźniki" sheetId="12" state="hidden" r:id="rId9"/>
    <sheet name="PARAMETRY POZYCZKI" sheetId="13" state="hidden" r:id="rId10"/>
  </sheets>
  <externalReferences>
    <externalReference r:id="rId11"/>
    <externalReference r:id="rId12"/>
  </externalReferences>
  <definedNames>
    <definedName name="_xlnm.Print_Area" localSheetId="3">bilans!$A$1:$M$137</definedName>
    <definedName name="_xlnm.Print_Area" localSheetId="4">'Parametry nakładów i pożyczki'!$A$1:$L$51</definedName>
    <definedName name="_xlnm.Print_Area" localSheetId="5">'plan sprzedaży i zakupów '!$A$1:$K$45</definedName>
    <definedName name="_xlnm.Print_Area" localSheetId="7">przepływy!$A$1:$L$50</definedName>
    <definedName name="_xlnm.Print_Area" localSheetId="2">RZiS!$A$1:$Q$62</definedName>
    <definedName name="_xlnm.Print_Area" localSheetId="0">'załącznik nr 1 porównawczy'!$A$1:$E$92</definedName>
    <definedName name="_xlnm.Print_Area" localSheetId="6">'zmiana kosztów eksploatacyjnych'!$A$1:$K$53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2" l="1"/>
  <c r="F1" i="12" l="1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W1" i="12"/>
  <c r="C4" i="11"/>
  <c r="I6" i="9"/>
  <c r="J6" i="9"/>
  <c r="K6" i="9"/>
  <c r="L6" i="9"/>
  <c r="M6" i="9"/>
  <c r="N6" i="9"/>
  <c r="D6" i="9"/>
  <c r="B2" i="1" s="1"/>
  <c r="B24" i="1" s="1"/>
  <c r="T3" i="9"/>
  <c r="E31" i="11"/>
  <c r="D31" i="11"/>
  <c r="C13" i="16"/>
  <c r="D13" i="16" s="1"/>
  <c r="E13" i="16" s="1"/>
  <c r="H6" i="9" s="1"/>
  <c r="E2" i="2" l="1"/>
  <c r="E2" i="1"/>
  <c r="E24" i="1" s="1"/>
  <c r="F4" i="11"/>
  <c r="F31" i="8"/>
  <c r="E1" i="12"/>
  <c r="F5" i="10"/>
  <c r="D106" i="10"/>
  <c r="B2" i="2"/>
  <c r="B1" i="12"/>
  <c r="F6" i="9"/>
  <c r="G6" i="9"/>
  <c r="C5" i="10"/>
  <c r="D118" i="10"/>
  <c r="C6" i="9"/>
  <c r="D34" i="11"/>
  <c r="D25" i="11"/>
  <c r="F44" i="9" s="1"/>
  <c r="D5" i="10" l="1"/>
  <c r="C1" i="12"/>
  <c r="C2" i="2"/>
  <c r="C2" i="1"/>
  <c r="C24" i="1" s="1"/>
  <c r="D4" i="11"/>
  <c r="D31" i="8"/>
  <c r="E4" i="11"/>
  <c r="E31" i="8"/>
  <c r="D1" i="12"/>
  <c r="E5" i="10"/>
  <c r="D2" i="2"/>
  <c r="D2" i="1"/>
  <c r="D24" i="1" s="1"/>
  <c r="C17" i="16"/>
  <c r="D107" i="10"/>
  <c r="D32" i="11"/>
  <c r="M7" i="10"/>
  <c r="M15" i="10"/>
  <c r="M16" i="10"/>
  <c r="M17" i="10"/>
  <c r="M18" i="10"/>
  <c r="M14" i="10"/>
  <c r="B14" i="16"/>
  <c r="C7" i="10"/>
  <c r="D26" i="1"/>
  <c r="E26" i="1"/>
  <c r="C26" i="1"/>
  <c r="D45" i="9"/>
  <c r="B26" i="1"/>
  <c r="C65" i="16"/>
  <c r="D65" i="16"/>
  <c r="E65" i="16"/>
  <c r="B65" i="16"/>
  <c r="C54" i="16" l="1"/>
  <c r="C41" i="16"/>
  <c r="C33" i="8"/>
  <c r="C34" i="8"/>
  <c r="C35" i="8"/>
  <c r="C36" i="8"/>
  <c r="C37" i="8"/>
  <c r="C32" i="8"/>
  <c r="D21" i="9"/>
  <c r="D20" i="9"/>
  <c r="D19" i="9"/>
  <c r="D17" i="9"/>
  <c r="D16" i="9"/>
  <c r="D15" i="9"/>
  <c r="D14" i="9"/>
  <c r="D43" i="2"/>
  <c r="E43" i="2"/>
  <c r="D44" i="2"/>
  <c r="E44" i="2"/>
  <c r="C44" i="2"/>
  <c r="C43" i="2"/>
  <c r="D40" i="2"/>
  <c r="E40" i="2"/>
  <c r="C40" i="2"/>
  <c r="D29" i="2"/>
  <c r="E29" i="2"/>
  <c r="C29" i="2"/>
  <c r="D24" i="2"/>
  <c r="E24" i="2"/>
  <c r="D25" i="2"/>
  <c r="E25" i="2"/>
  <c r="D26" i="2"/>
  <c r="E26" i="2"/>
  <c r="C25" i="2"/>
  <c r="C26" i="2"/>
  <c r="C24" i="2"/>
  <c r="D45" i="16"/>
  <c r="E45" i="16"/>
  <c r="C45" i="16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C11" i="2"/>
  <c r="C12" i="2"/>
  <c r="C13" i="2"/>
  <c r="C14" i="2"/>
  <c r="C15" i="2"/>
  <c r="C16" i="2"/>
  <c r="C17" i="2"/>
  <c r="C10" i="2"/>
  <c r="D6" i="2"/>
  <c r="E6" i="2"/>
  <c r="D7" i="2"/>
  <c r="E7" i="2"/>
  <c r="D8" i="2"/>
  <c r="E8" i="2"/>
  <c r="C7" i="2"/>
  <c r="C8" i="2"/>
  <c r="C6" i="2"/>
  <c r="D17" i="1"/>
  <c r="E17" i="1"/>
  <c r="C17" i="1"/>
  <c r="D16" i="1"/>
  <c r="E16" i="1"/>
  <c r="C16" i="1"/>
  <c r="D12" i="1"/>
  <c r="E12" i="1"/>
  <c r="C12" i="1"/>
  <c r="D9" i="1"/>
  <c r="E9" i="1"/>
  <c r="C9" i="1"/>
  <c r="D4" i="1"/>
  <c r="E4" i="1"/>
  <c r="D5" i="1"/>
  <c r="E5" i="1"/>
  <c r="C5" i="1"/>
  <c r="C4" i="1"/>
  <c r="D78" i="16"/>
  <c r="B78" i="16"/>
  <c r="B71" i="16"/>
  <c r="D71" i="16" s="1"/>
  <c r="E60" i="16"/>
  <c r="D60" i="16"/>
  <c r="C60" i="16"/>
  <c r="E54" i="16"/>
  <c r="D54" i="16"/>
  <c r="E41" i="16"/>
  <c r="D41" i="16"/>
  <c r="E39" i="16"/>
  <c r="D39" i="16"/>
  <c r="C39" i="16"/>
  <c r="B39" i="16"/>
  <c r="E24" i="16"/>
  <c r="D24" i="16"/>
  <c r="C24" i="16"/>
  <c r="B24" i="16"/>
  <c r="D22" i="9" s="1"/>
  <c r="E23" i="16"/>
  <c r="D23" i="16"/>
  <c r="C23" i="16"/>
  <c r="B23" i="16"/>
  <c r="E17" i="16"/>
  <c r="D17" i="16"/>
  <c r="B17" i="16"/>
  <c r="D12" i="9" s="1"/>
  <c r="E14" i="16"/>
  <c r="D14" i="16"/>
  <c r="C14" i="16"/>
  <c r="D9" i="9"/>
  <c r="F119" i="10"/>
  <c r="C25" i="1"/>
  <c r="K281" i="13"/>
  <c r="C281" i="13"/>
  <c r="K280" i="13"/>
  <c r="C280" i="13"/>
  <c r="K279" i="13"/>
  <c r="C279" i="13"/>
  <c r="K278" i="13"/>
  <c r="C278" i="13"/>
  <c r="K277" i="13"/>
  <c r="C277" i="13"/>
  <c r="K276" i="13"/>
  <c r="C276" i="13"/>
  <c r="K275" i="13"/>
  <c r="C275" i="13"/>
  <c r="K274" i="13"/>
  <c r="C274" i="13"/>
  <c r="K273" i="13"/>
  <c r="C273" i="13"/>
  <c r="K272" i="13"/>
  <c r="C272" i="13"/>
  <c r="K271" i="13"/>
  <c r="C271" i="13"/>
  <c r="K270" i="13"/>
  <c r="C270" i="13"/>
  <c r="K269" i="13"/>
  <c r="C269" i="13"/>
  <c r="K268" i="13"/>
  <c r="C268" i="13"/>
  <c r="K267" i="13"/>
  <c r="C267" i="13"/>
  <c r="K266" i="13"/>
  <c r="C266" i="13"/>
  <c r="K265" i="13"/>
  <c r="C265" i="13"/>
  <c r="K264" i="13"/>
  <c r="C264" i="13"/>
  <c r="K263" i="13"/>
  <c r="C263" i="13"/>
  <c r="K262" i="13"/>
  <c r="C262" i="13"/>
  <c r="K261" i="13"/>
  <c r="C261" i="13"/>
  <c r="K260" i="13"/>
  <c r="C260" i="13"/>
  <c r="K259" i="13"/>
  <c r="C259" i="13"/>
  <c r="K258" i="13"/>
  <c r="C258" i="13"/>
  <c r="K257" i="13"/>
  <c r="C257" i="13"/>
  <c r="K256" i="13"/>
  <c r="C256" i="13"/>
  <c r="K255" i="13"/>
  <c r="C255" i="13"/>
  <c r="K254" i="13"/>
  <c r="C254" i="13"/>
  <c r="K253" i="13"/>
  <c r="C253" i="13"/>
  <c r="K252" i="13"/>
  <c r="C252" i="13"/>
  <c r="K251" i="13"/>
  <c r="C251" i="13"/>
  <c r="K250" i="13"/>
  <c r="C250" i="13"/>
  <c r="K249" i="13"/>
  <c r="C249" i="13"/>
  <c r="K248" i="13"/>
  <c r="C248" i="13"/>
  <c r="K247" i="13"/>
  <c r="C247" i="13"/>
  <c r="K246" i="13"/>
  <c r="C246" i="13"/>
  <c r="K245" i="13"/>
  <c r="C245" i="13"/>
  <c r="K244" i="13"/>
  <c r="C244" i="13"/>
  <c r="K243" i="13"/>
  <c r="C243" i="13"/>
  <c r="K242" i="13"/>
  <c r="C242" i="13"/>
  <c r="K241" i="13"/>
  <c r="C241" i="13"/>
  <c r="K240" i="13"/>
  <c r="C240" i="13"/>
  <c r="K239" i="13"/>
  <c r="C239" i="13"/>
  <c r="K238" i="13"/>
  <c r="C238" i="13"/>
  <c r="K237" i="13"/>
  <c r="C237" i="13"/>
  <c r="K236" i="13"/>
  <c r="C236" i="13"/>
  <c r="K235" i="13"/>
  <c r="C235" i="13"/>
  <c r="K234" i="13"/>
  <c r="C234" i="13"/>
  <c r="K233" i="13"/>
  <c r="C233" i="13"/>
  <c r="K232" i="13"/>
  <c r="C232" i="13"/>
  <c r="K231" i="13"/>
  <c r="C231" i="13"/>
  <c r="K230" i="13"/>
  <c r="C230" i="13"/>
  <c r="K229" i="13"/>
  <c r="C229" i="13"/>
  <c r="K228" i="13"/>
  <c r="C228" i="13"/>
  <c r="K227" i="13"/>
  <c r="C227" i="13"/>
  <c r="K226" i="13"/>
  <c r="C226" i="13"/>
  <c r="K225" i="13"/>
  <c r="C225" i="13"/>
  <c r="K224" i="13"/>
  <c r="C224" i="13"/>
  <c r="K223" i="13"/>
  <c r="C223" i="13"/>
  <c r="K222" i="13"/>
  <c r="C222" i="13"/>
  <c r="K221" i="13"/>
  <c r="C221" i="13"/>
  <c r="K220" i="13"/>
  <c r="C220" i="13"/>
  <c r="K219" i="13"/>
  <c r="C219" i="13"/>
  <c r="K218" i="13"/>
  <c r="C218" i="13"/>
  <c r="K217" i="13"/>
  <c r="C217" i="13"/>
  <c r="K216" i="13"/>
  <c r="C216" i="13"/>
  <c r="K215" i="13"/>
  <c r="C215" i="13"/>
  <c r="K214" i="13"/>
  <c r="C214" i="13"/>
  <c r="K213" i="13"/>
  <c r="C213" i="13"/>
  <c r="K212" i="13"/>
  <c r="C212" i="13"/>
  <c r="K211" i="13"/>
  <c r="C211" i="13"/>
  <c r="K210" i="13"/>
  <c r="C210" i="13"/>
  <c r="K209" i="13"/>
  <c r="C209" i="13"/>
  <c r="K208" i="13"/>
  <c r="C208" i="13"/>
  <c r="K207" i="13"/>
  <c r="C207" i="13"/>
  <c r="K206" i="13"/>
  <c r="C206" i="13"/>
  <c r="K205" i="13"/>
  <c r="C205" i="13"/>
  <c r="K204" i="13"/>
  <c r="C204" i="13"/>
  <c r="K203" i="13"/>
  <c r="C203" i="13"/>
  <c r="K202" i="13"/>
  <c r="C202" i="13"/>
  <c r="K201" i="13"/>
  <c r="C201" i="13"/>
  <c r="K200" i="13"/>
  <c r="C200" i="13"/>
  <c r="K199" i="13"/>
  <c r="C199" i="13"/>
  <c r="K198" i="13"/>
  <c r="C198" i="13"/>
  <c r="K197" i="13"/>
  <c r="C197" i="13"/>
  <c r="K196" i="13"/>
  <c r="C196" i="13"/>
  <c r="K195" i="13"/>
  <c r="C195" i="13"/>
  <c r="K194" i="13"/>
  <c r="C194" i="13"/>
  <c r="K193" i="13"/>
  <c r="C193" i="13"/>
  <c r="K192" i="13"/>
  <c r="C192" i="13"/>
  <c r="K191" i="13"/>
  <c r="C191" i="13"/>
  <c r="K190" i="13"/>
  <c r="C190" i="13"/>
  <c r="K189" i="13"/>
  <c r="C189" i="13"/>
  <c r="K188" i="13"/>
  <c r="C188" i="13"/>
  <c r="K187" i="13"/>
  <c r="C187" i="13"/>
  <c r="K186" i="13"/>
  <c r="C186" i="13"/>
  <c r="K185" i="13"/>
  <c r="C185" i="13"/>
  <c r="K184" i="13"/>
  <c r="C184" i="13"/>
  <c r="K183" i="13"/>
  <c r="C183" i="13"/>
  <c r="K182" i="13"/>
  <c r="C182" i="13"/>
  <c r="K181" i="13"/>
  <c r="C181" i="13"/>
  <c r="K180" i="13"/>
  <c r="C180" i="13"/>
  <c r="K179" i="13"/>
  <c r="C179" i="13"/>
  <c r="K178" i="13"/>
  <c r="C178" i="13"/>
  <c r="K177" i="13"/>
  <c r="C177" i="13"/>
  <c r="K176" i="13"/>
  <c r="C176" i="13"/>
  <c r="K175" i="13"/>
  <c r="C175" i="13"/>
  <c r="K174" i="13"/>
  <c r="C174" i="13"/>
  <c r="K173" i="13"/>
  <c r="C173" i="13"/>
  <c r="K172" i="13"/>
  <c r="C172" i="13"/>
  <c r="K171" i="13"/>
  <c r="C171" i="13"/>
  <c r="K170" i="13"/>
  <c r="C170" i="13"/>
  <c r="K169" i="13"/>
  <c r="C169" i="13"/>
  <c r="K168" i="13"/>
  <c r="C168" i="13"/>
  <c r="K167" i="13"/>
  <c r="C167" i="13"/>
  <c r="K166" i="13"/>
  <c r="C166" i="13"/>
  <c r="K165" i="13"/>
  <c r="C165" i="13"/>
  <c r="K164" i="13"/>
  <c r="C164" i="13"/>
  <c r="K163" i="13"/>
  <c r="C163" i="13"/>
  <c r="K162" i="13"/>
  <c r="C162" i="13"/>
  <c r="K161" i="13"/>
  <c r="C161" i="13"/>
  <c r="K160" i="13"/>
  <c r="C160" i="13"/>
  <c r="K159" i="13"/>
  <c r="C159" i="13"/>
  <c r="K158" i="13"/>
  <c r="C158" i="13"/>
  <c r="K157" i="13"/>
  <c r="C157" i="13"/>
  <c r="K156" i="13"/>
  <c r="C156" i="13"/>
  <c r="K155" i="13"/>
  <c r="C155" i="13"/>
  <c r="K154" i="13"/>
  <c r="C154" i="13"/>
  <c r="K153" i="13"/>
  <c r="C153" i="13"/>
  <c r="K152" i="13"/>
  <c r="C152" i="13"/>
  <c r="K151" i="13"/>
  <c r="C151" i="13"/>
  <c r="K150" i="13"/>
  <c r="C150" i="13"/>
  <c r="K149" i="13"/>
  <c r="C149" i="13"/>
  <c r="K148" i="13"/>
  <c r="C148" i="13"/>
  <c r="K147" i="13"/>
  <c r="C147" i="13"/>
  <c r="K146" i="13"/>
  <c r="C146" i="13"/>
  <c r="K145" i="13"/>
  <c r="C145" i="13"/>
  <c r="K144" i="13"/>
  <c r="C144" i="13"/>
  <c r="K143" i="13"/>
  <c r="C143" i="13"/>
  <c r="K142" i="13"/>
  <c r="C142" i="13"/>
  <c r="K141" i="13"/>
  <c r="C141" i="13"/>
  <c r="K140" i="13"/>
  <c r="C140" i="13"/>
  <c r="K139" i="13"/>
  <c r="C139" i="13"/>
  <c r="K138" i="13"/>
  <c r="C138" i="13"/>
  <c r="K137" i="13"/>
  <c r="C137" i="13"/>
  <c r="K136" i="13"/>
  <c r="C136" i="13"/>
  <c r="K135" i="13"/>
  <c r="C135" i="13"/>
  <c r="K134" i="13"/>
  <c r="C134" i="13"/>
  <c r="K133" i="13"/>
  <c r="C133" i="13"/>
  <c r="K132" i="13"/>
  <c r="C132" i="13"/>
  <c r="K131" i="13"/>
  <c r="C131" i="13"/>
  <c r="K130" i="13"/>
  <c r="C130" i="13"/>
  <c r="K129" i="13"/>
  <c r="C129" i="13"/>
  <c r="K128" i="13"/>
  <c r="C128" i="13"/>
  <c r="K127" i="13"/>
  <c r="C127" i="13"/>
  <c r="K126" i="13"/>
  <c r="C126" i="13"/>
  <c r="K125" i="13"/>
  <c r="C125" i="13"/>
  <c r="K124" i="13"/>
  <c r="C124" i="13"/>
  <c r="K123" i="13"/>
  <c r="C123" i="13"/>
  <c r="K122" i="13"/>
  <c r="C122" i="13"/>
  <c r="K121" i="13"/>
  <c r="C121" i="13"/>
  <c r="K120" i="13"/>
  <c r="C120" i="13"/>
  <c r="K119" i="13"/>
  <c r="C119" i="13"/>
  <c r="K118" i="13"/>
  <c r="C118" i="13"/>
  <c r="K117" i="13"/>
  <c r="C117" i="13"/>
  <c r="K116" i="13"/>
  <c r="C116" i="13"/>
  <c r="K115" i="13"/>
  <c r="C115" i="13"/>
  <c r="K114" i="13"/>
  <c r="C114" i="13"/>
  <c r="K113" i="13"/>
  <c r="C113" i="13"/>
  <c r="K112" i="13"/>
  <c r="C112" i="13"/>
  <c r="K111" i="13"/>
  <c r="C111" i="13"/>
  <c r="K110" i="13"/>
  <c r="C110" i="13"/>
  <c r="K109" i="13"/>
  <c r="C109" i="13"/>
  <c r="K108" i="13"/>
  <c r="C108" i="13"/>
  <c r="K107" i="13"/>
  <c r="C107" i="13"/>
  <c r="K106" i="13"/>
  <c r="C106" i="13"/>
  <c r="K105" i="13"/>
  <c r="C105" i="13"/>
  <c r="K104" i="13"/>
  <c r="C104" i="13"/>
  <c r="K103" i="13"/>
  <c r="C103" i="13"/>
  <c r="K102" i="13"/>
  <c r="C102" i="13"/>
  <c r="K101" i="13"/>
  <c r="C101" i="13"/>
  <c r="K100" i="13"/>
  <c r="C100" i="13"/>
  <c r="K99" i="13"/>
  <c r="C99" i="13"/>
  <c r="K98" i="13"/>
  <c r="C98" i="13"/>
  <c r="K97" i="13"/>
  <c r="C97" i="13"/>
  <c r="K96" i="13"/>
  <c r="C96" i="13"/>
  <c r="K95" i="13"/>
  <c r="C95" i="13"/>
  <c r="K94" i="13"/>
  <c r="C94" i="13"/>
  <c r="K93" i="13"/>
  <c r="C93" i="13"/>
  <c r="K92" i="13"/>
  <c r="C92" i="13"/>
  <c r="K91" i="13"/>
  <c r="C91" i="13"/>
  <c r="K90" i="13"/>
  <c r="C90" i="13"/>
  <c r="K89" i="13"/>
  <c r="C89" i="13"/>
  <c r="K88" i="13"/>
  <c r="C88" i="13"/>
  <c r="K87" i="13"/>
  <c r="C87" i="13"/>
  <c r="K86" i="13"/>
  <c r="C86" i="13"/>
  <c r="K85" i="13"/>
  <c r="C85" i="13"/>
  <c r="K84" i="13"/>
  <c r="C84" i="13"/>
  <c r="K83" i="13"/>
  <c r="C83" i="13"/>
  <c r="K82" i="13"/>
  <c r="C82" i="13"/>
  <c r="K81" i="13"/>
  <c r="C81" i="13"/>
  <c r="K80" i="13"/>
  <c r="C80" i="13"/>
  <c r="K79" i="13"/>
  <c r="C79" i="13"/>
  <c r="K78" i="13"/>
  <c r="C78" i="13"/>
  <c r="K77" i="13"/>
  <c r="C77" i="13"/>
  <c r="K76" i="13"/>
  <c r="C76" i="13"/>
  <c r="K75" i="13"/>
  <c r="C75" i="13"/>
  <c r="K74" i="13"/>
  <c r="C74" i="13"/>
  <c r="K73" i="13"/>
  <c r="C73" i="13"/>
  <c r="K72" i="13"/>
  <c r="C72" i="13"/>
  <c r="K71" i="13"/>
  <c r="C71" i="13"/>
  <c r="K70" i="13"/>
  <c r="C70" i="13"/>
  <c r="K69" i="13"/>
  <c r="C69" i="13"/>
  <c r="K68" i="13"/>
  <c r="C68" i="13"/>
  <c r="K67" i="13"/>
  <c r="C67" i="13"/>
  <c r="K66" i="13"/>
  <c r="C66" i="13"/>
  <c r="K65" i="13"/>
  <c r="C65" i="13"/>
  <c r="K64" i="13"/>
  <c r="C64" i="13"/>
  <c r="K63" i="13"/>
  <c r="C63" i="13"/>
  <c r="K62" i="13"/>
  <c r="C62" i="13"/>
  <c r="K61" i="13"/>
  <c r="C61" i="13"/>
  <c r="K60" i="13"/>
  <c r="C60" i="13"/>
  <c r="K59" i="13"/>
  <c r="C59" i="13"/>
  <c r="K58" i="13"/>
  <c r="C58" i="13"/>
  <c r="K57" i="13"/>
  <c r="C57" i="13"/>
  <c r="K56" i="13"/>
  <c r="C56" i="13"/>
  <c r="L55" i="13"/>
  <c r="L67" i="13" s="1"/>
  <c r="K55" i="13"/>
  <c r="C55" i="13"/>
  <c r="K54" i="13"/>
  <c r="C54" i="13"/>
  <c r="K53" i="13"/>
  <c r="C53" i="13"/>
  <c r="K52" i="13"/>
  <c r="C52" i="13"/>
  <c r="K51" i="13"/>
  <c r="C51" i="13"/>
  <c r="K50" i="13"/>
  <c r="C50" i="13"/>
  <c r="K49" i="13"/>
  <c r="C49" i="13"/>
  <c r="K48" i="13"/>
  <c r="C48" i="13"/>
  <c r="K47" i="13"/>
  <c r="C47" i="13"/>
  <c r="K46" i="13"/>
  <c r="C46" i="13"/>
  <c r="K45" i="13"/>
  <c r="C45" i="13"/>
  <c r="K44" i="13"/>
  <c r="C44" i="13"/>
  <c r="K43" i="13"/>
  <c r="C43" i="13"/>
  <c r="K42" i="13"/>
  <c r="P18" i="12"/>
  <c r="E9" i="2" l="1"/>
  <c r="D9" i="2"/>
  <c r="C9" i="2"/>
  <c r="L79" i="13"/>
  <c r="G19" i="9"/>
  <c r="F29" i="2"/>
  <c r="I19" i="9" s="1"/>
  <c r="G29" i="2"/>
  <c r="J19" i="9" s="1"/>
  <c r="H29" i="2"/>
  <c r="F19" i="9"/>
  <c r="H19" i="9"/>
  <c r="K19" i="9"/>
  <c r="L91" i="13" l="1"/>
  <c r="E119" i="10"/>
  <c r="G119" i="10"/>
  <c r="H119" i="10"/>
  <c r="I119" i="10"/>
  <c r="J119" i="10"/>
  <c r="K119" i="10"/>
  <c r="L119" i="10"/>
  <c r="D119" i="10"/>
  <c r="L103" i="13" l="1"/>
  <c r="L115" i="13" l="1"/>
  <c r="L127" i="13" l="1"/>
  <c r="I15" i="1"/>
  <c r="J15" i="1"/>
  <c r="K15" i="1"/>
  <c r="I8" i="1"/>
  <c r="J8" i="1"/>
  <c r="K8" i="1"/>
  <c r="I3" i="1"/>
  <c r="J3" i="1"/>
  <c r="K3" i="1"/>
  <c r="B16" i="1"/>
  <c r="L139" i="13" l="1"/>
  <c r="M90" i="10"/>
  <c r="L151" i="13" l="1"/>
  <c r="B2" i="15"/>
  <c r="C2" i="15"/>
  <c r="D2" i="15"/>
  <c r="E2" i="15"/>
  <c r="F2" i="15"/>
  <c r="G2" i="15"/>
  <c r="H2" i="15"/>
  <c r="I2" i="15"/>
  <c r="J2" i="15"/>
  <c r="K2" i="15"/>
  <c r="L2" i="15"/>
  <c r="M2" i="15"/>
  <c r="N2" i="15"/>
  <c r="O2" i="15"/>
  <c r="P2" i="15"/>
  <c r="Q2" i="15"/>
  <c r="R2" i="15"/>
  <c r="S2" i="15"/>
  <c r="T2" i="15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A5" i="15"/>
  <c r="B5" i="15"/>
  <c r="C5" i="15"/>
  <c r="D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A6" i="15"/>
  <c r="O6" i="15"/>
  <c r="P6" i="15"/>
  <c r="R6" i="15"/>
  <c r="A7" i="15"/>
  <c r="C7" i="15"/>
  <c r="D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A8" i="15"/>
  <c r="B8" i="15"/>
  <c r="C8" i="15"/>
  <c r="D8" i="15"/>
  <c r="O8" i="15"/>
  <c r="P8" i="15"/>
  <c r="Q8" i="15"/>
  <c r="R8" i="15"/>
  <c r="A9" i="15"/>
  <c r="C9" i="15"/>
  <c r="D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A10" i="15"/>
  <c r="C10" i="15"/>
  <c r="D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A11" i="15"/>
  <c r="C11" i="15"/>
  <c r="D11" i="15"/>
  <c r="O11" i="15"/>
  <c r="P11" i="15"/>
  <c r="Q11" i="15"/>
  <c r="R11" i="15"/>
  <c r="A12" i="15"/>
  <c r="O12" i="15"/>
  <c r="P12" i="15"/>
  <c r="R12" i="15"/>
  <c r="A13" i="15"/>
  <c r="C13" i="15"/>
  <c r="D13" i="15"/>
  <c r="O13" i="15"/>
  <c r="P13" i="15"/>
  <c r="Q13" i="15"/>
  <c r="R13" i="15"/>
  <c r="A14" i="15"/>
  <c r="C14" i="15"/>
  <c r="D14" i="15"/>
  <c r="O14" i="15"/>
  <c r="P14" i="15"/>
  <c r="Q14" i="15"/>
  <c r="R14" i="15"/>
  <c r="A15" i="15"/>
  <c r="C15" i="15"/>
  <c r="D15" i="15"/>
  <c r="O15" i="15"/>
  <c r="P15" i="15"/>
  <c r="Q15" i="15"/>
  <c r="R15" i="15"/>
  <c r="A16" i="15"/>
  <c r="C16" i="15"/>
  <c r="D16" i="15"/>
  <c r="O16" i="15"/>
  <c r="P16" i="15"/>
  <c r="Q16" i="15"/>
  <c r="R16" i="15"/>
  <c r="A17" i="15"/>
  <c r="C17" i="15"/>
  <c r="D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A18" i="15"/>
  <c r="C18" i="15"/>
  <c r="D18" i="15"/>
  <c r="O18" i="15"/>
  <c r="P18" i="15"/>
  <c r="Q18" i="15"/>
  <c r="R18" i="15"/>
  <c r="A19" i="15"/>
  <c r="C19" i="15"/>
  <c r="D19" i="15"/>
  <c r="O19" i="15"/>
  <c r="P19" i="15"/>
  <c r="Q19" i="15"/>
  <c r="R19" i="15"/>
  <c r="A20" i="15"/>
  <c r="C20" i="15"/>
  <c r="D20" i="15"/>
  <c r="O20" i="15"/>
  <c r="P20" i="15"/>
  <c r="Q20" i="15"/>
  <c r="R20" i="15"/>
  <c r="A21" i="15"/>
  <c r="C21" i="15"/>
  <c r="D21" i="15"/>
  <c r="O21" i="15"/>
  <c r="P21" i="15"/>
  <c r="Q21" i="15"/>
  <c r="R21" i="15"/>
  <c r="A22" i="15"/>
  <c r="O22" i="15"/>
  <c r="P22" i="15"/>
  <c r="R22" i="15"/>
  <c r="A23" i="15"/>
  <c r="O23" i="15"/>
  <c r="P23" i="15"/>
  <c r="R23" i="15"/>
  <c r="A24" i="15"/>
  <c r="C24" i="15"/>
  <c r="D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A25" i="15"/>
  <c r="C25" i="15"/>
  <c r="D25" i="15"/>
  <c r="O25" i="15"/>
  <c r="P25" i="15"/>
  <c r="Q25" i="15"/>
  <c r="R25" i="15"/>
  <c r="A26" i="15"/>
  <c r="C26" i="15"/>
  <c r="D26" i="15"/>
  <c r="O26" i="15"/>
  <c r="P26" i="15"/>
  <c r="Q26" i="15"/>
  <c r="R26" i="15"/>
  <c r="A27" i="15"/>
  <c r="O27" i="15"/>
  <c r="P27" i="15"/>
  <c r="R27" i="15"/>
  <c r="A28" i="15"/>
  <c r="C28" i="15"/>
  <c r="D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A29" i="15"/>
  <c r="B29" i="15"/>
  <c r="C29" i="15"/>
  <c r="D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A30" i="15"/>
  <c r="C30" i="15"/>
  <c r="D30" i="15"/>
  <c r="O30" i="15"/>
  <c r="P30" i="15"/>
  <c r="Q30" i="15"/>
  <c r="R30" i="15"/>
  <c r="A31" i="15"/>
  <c r="O31" i="15"/>
  <c r="P31" i="15"/>
  <c r="R31" i="15"/>
  <c r="A32" i="15"/>
  <c r="C32" i="15"/>
  <c r="D32" i="15"/>
  <c r="O32" i="15"/>
  <c r="P32" i="15"/>
  <c r="Q32" i="15"/>
  <c r="R32" i="15"/>
  <c r="A33" i="15"/>
  <c r="C33" i="15"/>
  <c r="D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A34" i="15"/>
  <c r="C34" i="15"/>
  <c r="D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A35" i="15"/>
  <c r="C35" i="15"/>
  <c r="D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A36" i="15"/>
  <c r="C36" i="15"/>
  <c r="D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A37" i="15"/>
  <c r="C37" i="15"/>
  <c r="D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A38" i="15"/>
  <c r="C38" i="15"/>
  <c r="D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A39" i="15"/>
  <c r="C39" i="15"/>
  <c r="D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A40" i="15"/>
  <c r="O40" i="15"/>
  <c r="P40" i="15"/>
  <c r="R40" i="15"/>
  <c r="A41" i="15"/>
  <c r="O41" i="15"/>
  <c r="P41" i="15"/>
  <c r="R41" i="15"/>
  <c r="A42" i="15"/>
  <c r="C42" i="15"/>
  <c r="D42" i="15"/>
  <c r="O42" i="15"/>
  <c r="P42" i="15"/>
  <c r="Q42" i="15"/>
  <c r="R42" i="15"/>
  <c r="A43" i="15"/>
  <c r="B43" i="15"/>
  <c r="C43" i="15"/>
  <c r="D43" i="15"/>
  <c r="O43" i="15"/>
  <c r="P43" i="15"/>
  <c r="Q43" i="15"/>
  <c r="R43" i="15"/>
  <c r="A44" i="15"/>
  <c r="B44" i="15"/>
  <c r="C44" i="15"/>
  <c r="D44" i="15"/>
  <c r="O44" i="15"/>
  <c r="P44" i="15"/>
  <c r="Q44" i="15"/>
  <c r="R44" i="15"/>
  <c r="A45" i="15"/>
  <c r="C45" i="15"/>
  <c r="D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A46" i="15"/>
  <c r="C46" i="15"/>
  <c r="D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A47" i="15"/>
  <c r="C47" i="15"/>
  <c r="D47" i="15"/>
  <c r="O47" i="15"/>
  <c r="P47" i="15"/>
  <c r="Q47" i="15"/>
  <c r="R47" i="15"/>
  <c r="A48" i="15"/>
  <c r="O48" i="15"/>
  <c r="P48" i="15"/>
  <c r="R48" i="15"/>
  <c r="A49" i="15"/>
  <c r="O49" i="15"/>
  <c r="P49" i="15"/>
  <c r="R49" i="15"/>
  <c r="A50" i="15"/>
  <c r="C50" i="15"/>
  <c r="D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A51" i="15"/>
  <c r="C51" i="15"/>
  <c r="D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A52" i="15"/>
  <c r="O52" i="15"/>
  <c r="P52" i="15"/>
  <c r="R52" i="15"/>
  <c r="A53" i="15"/>
  <c r="C53" i="15"/>
  <c r="D53" i="15"/>
  <c r="O53" i="15"/>
  <c r="P53" i="15"/>
  <c r="Q53" i="15"/>
  <c r="R53" i="15"/>
  <c r="A54" i="15"/>
  <c r="C54" i="15"/>
  <c r="D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A55" i="15"/>
  <c r="O55" i="15"/>
  <c r="P55" i="15"/>
  <c r="R55" i="15"/>
  <c r="A56" i="15"/>
  <c r="A57" i="15"/>
  <c r="A58" i="15"/>
  <c r="A59" i="15"/>
  <c r="A60" i="15"/>
  <c r="A61" i="15"/>
  <c r="A62" i="15"/>
  <c r="A63" i="15"/>
  <c r="A64" i="15"/>
  <c r="A65" i="15"/>
  <c r="B1" i="15"/>
  <c r="C1" i="15"/>
  <c r="D1" i="15"/>
  <c r="E1" i="15"/>
  <c r="F1" i="15"/>
  <c r="G1" i="15"/>
  <c r="H1" i="15"/>
  <c r="I1" i="15"/>
  <c r="J1" i="15"/>
  <c r="K1" i="15"/>
  <c r="L1" i="15"/>
  <c r="M1" i="15"/>
  <c r="N1" i="15"/>
  <c r="O1" i="15"/>
  <c r="P1" i="15"/>
  <c r="Q1" i="15"/>
  <c r="R1" i="15"/>
  <c r="S1" i="15"/>
  <c r="T1" i="15"/>
  <c r="E8" i="9"/>
  <c r="E7" i="15" s="1"/>
  <c r="E9" i="9"/>
  <c r="E8" i="15" s="1"/>
  <c r="E10" i="9"/>
  <c r="E9" i="15" s="1"/>
  <c r="E11" i="9"/>
  <c r="E10" i="15" s="1"/>
  <c r="E12" i="9"/>
  <c r="E11" i="15" s="1"/>
  <c r="E14" i="9"/>
  <c r="E13" i="15" s="1"/>
  <c r="E15" i="9"/>
  <c r="E14" i="15" s="1"/>
  <c r="E16" i="9"/>
  <c r="E15" i="15" s="1"/>
  <c r="E17" i="9"/>
  <c r="E16" i="15" s="1"/>
  <c r="E18" i="9"/>
  <c r="E17" i="15" s="1"/>
  <c r="E19" i="9"/>
  <c r="E18" i="15" s="1"/>
  <c r="E20" i="9"/>
  <c r="E19" i="15" s="1"/>
  <c r="E21" i="9"/>
  <c r="E20" i="15" s="1"/>
  <c r="E22" i="9"/>
  <c r="E21" i="15" s="1"/>
  <c r="E25" i="9"/>
  <c r="E24" i="15" s="1"/>
  <c r="E26" i="9"/>
  <c r="E25" i="15" s="1"/>
  <c r="E27" i="9"/>
  <c r="E26" i="15" s="1"/>
  <c r="E29" i="9"/>
  <c r="E28" i="15" s="1"/>
  <c r="E30" i="9"/>
  <c r="E29" i="15" s="1"/>
  <c r="E31" i="9"/>
  <c r="E30" i="15" s="1"/>
  <c r="E33" i="9"/>
  <c r="E32" i="15" s="1"/>
  <c r="E34" i="9"/>
  <c r="E33" i="15" s="1"/>
  <c r="E35" i="9"/>
  <c r="E34" i="15" s="1"/>
  <c r="E36" i="9"/>
  <c r="E35" i="15" s="1"/>
  <c r="E37" i="9"/>
  <c r="E36" i="15" s="1"/>
  <c r="E38" i="9"/>
  <c r="E37" i="15" s="1"/>
  <c r="E39" i="9"/>
  <c r="E38" i="15" s="1"/>
  <c r="E40" i="9"/>
  <c r="E39" i="15" s="1"/>
  <c r="E43" i="9"/>
  <c r="E42" i="15" s="1"/>
  <c r="E44" i="9"/>
  <c r="E43" i="15" s="1"/>
  <c r="E45" i="9"/>
  <c r="E44" i="15" s="1"/>
  <c r="E46" i="9"/>
  <c r="E45" i="15" s="1"/>
  <c r="E47" i="9"/>
  <c r="E46" i="15" s="1"/>
  <c r="E48" i="9"/>
  <c r="E47" i="15" s="1"/>
  <c r="E51" i="9"/>
  <c r="E50" i="15" s="1"/>
  <c r="E52" i="9"/>
  <c r="E51" i="15" s="1"/>
  <c r="E54" i="9"/>
  <c r="E53" i="15" s="1"/>
  <c r="E55" i="9"/>
  <c r="E54" i="15" s="1"/>
  <c r="C7" i="9"/>
  <c r="C6" i="15" s="1"/>
  <c r="C13" i="9"/>
  <c r="C12" i="15" s="1"/>
  <c r="C24" i="9"/>
  <c r="C23" i="15" s="1"/>
  <c r="C28" i="9"/>
  <c r="C27" i="15" s="1"/>
  <c r="C42" i="9"/>
  <c r="C41" i="9" s="1"/>
  <c r="C40" i="15" s="1"/>
  <c r="C50" i="9"/>
  <c r="C49" i="15" s="1"/>
  <c r="L162" i="13" l="1"/>
  <c r="C41" i="15"/>
  <c r="C23" i="9"/>
  <c r="L174" i="13" l="1"/>
  <c r="L186" i="13" s="1"/>
  <c r="L198" i="13" s="1"/>
  <c r="L210" i="13" s="1"/>
  <c r="L222" i="13" s="1"/>
  <c r="L234" i="13" s="1"/>
  <c r="L246" i="13" s="1"/>
  <c r="L258" i="13" s="1"/>
  <c r="L270" i="13" s="1"/>
  <c r="L282" i="13" s="1"/>
  <c r="C32" i="9"/>
  <c r="C22" i="15"/>
  <c r="M84" i="10"/>
  <c r="C31" i="15" l="1"/>
  <c r="C49" i="9"/>
  <c r="C53" i="9" l="1"/>
  <c r="C48" i="15"/>
  <c r="M117" i="10"/>
  <c r="M116" i="10" s="1"/>
  <c r="M109" i="10" s="1"/>
  <c r="M105" i="10"/>
  <c r="M104" i="10" s="1"/>
  <c r="M102" i="10" s="1"/>
  <c r="M82" i="10"/>
  <c r="M42" i="10"/>
  <c r="M13" i="10"/>
  <c r="S8" i="9"/>
  <c r="S9" i="9"/>
  <c r="S10" i="9"/>
  <c r="S11" i="9"/>
  <c r="S12" i="9"/>
  <c r="S14" i="9"/>
  <c r="S15" i="9"/>
  <c r="S16" i="9"/>
  <c r="S17" i="9"/>
  <c r="S18" i="9"/>
  <c r="F18" i="9" s="1"/>
  <c r="F17" i="15" s="1"/>
  <c r="S19" i="9"/>
  <c r="S20" i="9"/>
  <c r="S21" i="9"/>
  <c r="S22" i="9"/>
  <c r="S25" i="9"/>
  <c r="S26" i="9"/>
  <c r="S27" i="9"/>
  <c r="S29" i="9"/>
  <c r="S30" i="9"/>
  <c r="S31" i="9"/>
  <c r="S33" i="9"/>
  <c r="S34" i="9"/>
  <c r="S35" i="9"/>
  <c r="S36" i="9"/>
  <c r="S37" i="9"/>
  <c r="S38" i="9"/>
  <c r="S39" i="9"/>
  <c r="S40" i="9"/>
  <c r="S43" i="9"/>
  <c r="S44" i="9"/>
  <c r="S45" i="9"/>
  <c r="S46" i="9"/>
  <c r="S47" i="9"/>
  <c r="S48" i="9"/>
  <c r="S51" i="9"/>
  <c r="S52" i="9"/>
  <c r="S54" i="9"/>
  <c r="S55" i="9"/>
  <c r="Q50" i="9"/>
  <c r="Q49" i="15" s="1"/>
  <c r="Q42" i="9"/>
  <c r="S42" i="9" s="1"/>
  <c r="Q28" i="9"/>
  <c r="Q24" i="9"/>
  <c r="Q13" i="9"/>
  <c r="Q7" i="9"/>
  <c r="Q6" i="15" s="1"/>
  <c r="M12" i="10" l="1"/>
  <c r="M6" i="10" s="1"/>
  <c r="M80" i="10" s="1"/>
  <c r="C8" i="1"/>
  <c r="G31" i="9"/>
  <c r="K31" i="9"/>
  <c r="F31" i="9"/>
  <c r="I31" i="9"/>
  <c r="J31" i="9"/>
  <c r="H31" i="9"/>
  <c r="L31" i="9"/>
  <c r="M31" i="9"/>
  <c r="N31" i="9"/>
  <c r="G27" i="9"/>
  <c r="K27" i="9"/>
  <c r="F27" i="9"/>
  <c r="H27" i="9"/>
  <c r="L27" i="9"/>
  <c r="N27" i="9"/>
  <c r="I27" i="9"/>
  <c r="M27" i="9"/>
  <c r="J27" i="9"/>
  <c r="M48" i="9"/>
  <c r="I48" i="9"/>
  <c r="J48" i="9"/>
  <c r="L48" i="9"/>
  <c r="H48" i="9"/>
  <c r="K48" i="9"/>
  <c r="G48" i="9"/>
  <c r="N48" i="9"/>
  <c r="F48" i="9"/>
  <c r="C15" i="1"/>
  <c r="C3" i="1"/>
  <c r="S41" i="15"/>
  <c r="S46" i="15"/>
  <c r="T47" i="9"/>
  <c r="T46" i="15" s="1"/>
  <c r="S38" i="15"/>
  <c r="T39" i="9"/>
  <c r="T38" i="15" s="1"/>
  <c r="S29" i="15"/>
  <c r="T30" i="9"/>
  <c r="T29" i="15" s="1"/>
  <c r="T25" i="9"/>
  <c r="T24" i="15" s="1"/>
  <c r="S24" i="15"/>
  <c r="T19" i="9"/>
  <c r="T18" i="15" s="1"/>
  <c r="S18" i="15"/>
  <c r="T15" i="9"/>
  <c r="T14" i="15" s="1"/>
  <c r="S14" i="15"/>
  <c r="S9" i="15"/>
  <c r="T10" i="9"/>
  <c r="T9" i="15" s="1"/>
  <c r="S24" i="9"/>
  <c r="Q23" i="15"/>
  <c r="S7" i="9"/>
  <c r="S50" i="15"/>
  <c r="T51" i="9"/>
  <c r="T50" i="15" s="1"/>
  <c r="S45" i="15"/>
  <c r="T46" i="9"/>
  <c r="T45" i="15" s="1"/>
  <c r="T38" i="9"/>
  <c r="T37" i="15" s="1"/>
  <c r="S37" i="15"/>
  <c r="S33" i="15"/>
  <c r="T34" i="9"/>
  <c r="T33" i="15" s="1"/>
  <c r="S28" i="15"/>
  <c r="T29" i="9"/>
  <c r="T28" i="15" s="1"/>
  <c r="S21" i="15"/>
  <c r="T22" i="9"/>
  <c r="T21" i="15" s="1"/>
  <c r="S17" i="15"/>
  <c r="T18" i="9"/>
  <c r="T17" i="15" s="1"/>
  <c r="S13" i="15"/>
  <c r="T14" i="9"/>
  <c r="T13" i="15" s="1"/>
  <c r="S8" i="15"/>
  <c r="T9" i="9"/>
  <c r="T8" i="15" s="1"/>
  <c r="Q41" i="9"/>
  <c r="Q41" i="15"/>
  <c r="S53" i="15"/>
  <c r="T54" i="9"/>
  <c r="T53" i="15" s="1"/>
  <c r="S47" i="15"/>
  <c r="T48" i="9"/>
  <c r="T47" i="15" s="1"/>
  <c r="S43" i="15"/>
  <c r="T44" i="9"/>
  <c r="T43" i="15" s="1"/>
  <c r="S39" i="15"/>
  <c r="T40" i="9"/>
  <c r="T39" i="15" s="1"/>
  <c r="S35" i="15"/>
  <c r="T36" i="9"/>
  <c r="T35" i="15" s="1"/>
  <c r="S30" i="15"/>
  <c r="T31" i="9"/>
  <c r="T30" i="15" s="1"/>
  <c r="T26" i="9"/>
  <c r="T25" i="15" s="1"/>
  <c r="S25" i="15"/>
  <c r="T20" i="9"/>
  <c r="T19" i="15" s="1"/>
  <c r="S19" i="15"/>
  <c r="S15" i="15"/>
  <c r="T16" i="9"/>
  <c r="T15" i="15" s="1"/>
  <c r="S10" i="15"/>
  <c r="T11" i="9"/>
  <c r="T10" i="15" s="1"/>
  <c r="S13" i="9"/>
  <c r="Q12" i="15"/>
  <c r="S51" i="15"/>
  <c r="T52" i="9"/>
  <c r="T51" i="15" s="1"/>
  <c r="S42" i="15"/>
  <c r="T43" i="9"/>
  <c r="T42" i="15" s="1"/>
  <c r="S34" i="15"/>
  <c r="T35" i="9"/>
  <c r="T34" i="15" s="1"/>
  <c r="S28" i="9"/>
  <c r="Q27" i="15"/>
  <c r="S54" i="15"/>
  <c r="T55" i="9"/>
  <c r="T54" i="15" s="1"/>
  <c r="S50" i="9"/>
  <c r="S44" i="15"/>
  <c r="T45" i="9"/>
  <c r="T44" i="15" s="1"/>
  <c r="T37" i="9"/>
  <c r="T36" i="15" s="1"/>
  <c r="S36" i="15"/>
  <c r="T33" i="9"/>
  <c r="T32" i="15" s="1"/>
  <c r="S32" i="15"/>
  <c r="S26" i="15"/>
  <c r="T27" i="9"/>
  <c r="T26" i="15" s="1"/>
  <c r="S20" i="15"/>
  <c r="T21" i="9"/>
  <c r="T20" i="15" s="1"/>
  <c r="S16" i="15"/>
  <c r="T17" i="9"/>
  <c r="T16" i="15" s="1"/>
  <c r="S11" i="15"/>
  <c r="T12" i="9"/>
  <c r="T11" i="15" s="1"/>
  <c r="C56" i="9"/>
  <c r="C55" i="15" s="1"/>
  <c r="C52" i="15"/>
  <c r="S7" i="15"/>
  <c r="T8" i="9"/>
  <c r="T7" i="15" s="1"/>
  <c r="M93" i="10"/>
  <c r="Q23" i="9"/>
  <c r="Q22" i="15" s="1"/>
  <c r="D15" i="1" l="1"/>
  <c r="D3" i="1"/>
  <c r="D8" i="1"/>
  <c r="S27" i="15"/>
  <c r="S6" i="15"/>
  <c r="Q40" i="15"/>
  <c r="S41" i="9"/>
  <c r="S49" i="15"/>
  <c r="S12" i="15"/>
  <c r="S23" i="15"/>
  <c r="Q32" i="9"/>
  <c r="S23" i="9"/>
  <c r="F4" i="1" l="1"/>
  <c r="E3" i="1"/>
  <c r="F9" i="1"/>
  <c r="E8" i="1"/>
  <c r="F16" i="1"/>
  <c r="E15" i="1"/>
  <c r="S22" i="15"/>
  <c r="S40" i="15"/>
  <c r="S32" i="9"/>
  <c r="Q31" i="15"/>
  <c r="Q49" i="9"/>
  <c r="G9" i="1" l="1"/>
  <c r="F8" i="1"/>
  <c r="G16" i="1"/>
  <c r="F15" i="1"/>
  <c r="G4" i="1"/>
  <c r="F3" i="1"/>
  <c r="S49" i="9"/>
  <c r="Q48" i="15"/>
  <c r="S31" i="15"/>
  <c r="Q53" i="9"/>
  <c r="S53" i="9" s="1"/>
  <c r="H16" i="1" l="1"/>
  <c r="H15" i="1" s="1"/>
  <c r="G15" i="1"/>
  <c r="H4" i="1"/>
  <c r="H3" i="1" s="1"/>
  <c r="G3" i="1"/>
  <c r="H9" i="1"/>
  <c r="H8" i="1" s="1"/>
  <c r="G8" i="1"/>
  <c r="S52" i="15"/>
  <c r="Q56" i="9"/>
  <c r="Q55" i="15" s="1"/>
  <c r="Q52" i="15"/>
  <c r="S48" i="15"/>
  <c r="M91" i="10" l="1"/>
  <c r="S56" i="9"/>
  <c r="S55" i="15" s="1"/>
  <c r="B29" i="1"/>
  <c r="F33" i="9" l="1"/>
  <c r="G33" i="9" l="1"/>
  <c r="F32" i="15"/>
  <c r="C37" i="11"/>
  <c r="C36" i="11"/>
  <c r="C35" i="11"/>
  <c r="C30" i="11" s="1"/>
  <c r="G26" i="9"/>
  <c r="G25" i="15" s="1"/>
  <c r="H26" i="9"/>
  <c r="H25" i="15" s="1"/>
  <c r="I26" i="9"/>
  <c r="I25" i="15" s="1"/>
  <c r="J26" i="9"/>
  <c r="J25" i="15" s="1"/>
  <c r="K26" i="9"/>
  <c r="K25" i="15" s="1"/>
  <c r="L26" i="9"/>
  <c r="L25" i="15" s="1"/>
  <c r="M26" i="9"/>
  <c r="M25" i="15" s="1"/>
  <c r="N26" i="9"/>
  <c r="N25" i="15" s="1"/>
  <c r="F26" i="9"/>
  <c r="F25" i="15" s="1"/>
  <c r="G45" i="9"/>
  <c r="G44" i="15" s="1"/>
  <c r="H45" i="9"/>
  <c r="H44" i="15" s="1"/>
  <c r="I45" i="9"/>
  <c r="I44" i="15" s="1"/>
  <c r="J45" i="9"/>
  <c r="J44" i="15" s="1"/>
  <c r="K45" i="9"/>
  <c r="K44" i="15" s="1"/>
  <c r="L45" i="9"/>
  <c r="L44" i="15" s="1"/>
  <c r="M45" i="9"/>
  <c r="M44" i="15" s="1"/>
  <c r="N45" i="9"/>
  <c r="N44" i="15" s="1"/>
  <c r="F45" i="9"/>
  <c r="F44" i="15" s="1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G39" i="13" s="1"/>
  <c r="E6" i="13"/>
  <c r="H43" i="13" s="1"/>
  <c r="E4" i="13"/>
  <c r="F42" i="13" s="1"/>
  <c r="C117" i="10"/>
  <c r="C116" i="10" s="1"/>
  <c r="C109" i="10" s="1"/>
  <c r="D92" i="10"/>
  <c r="E92" i="10" s="1"/>
  <c r="F92" i="10" s="1"/>
  <c r="G92" i="10" s="1"/>
  <c r="H92" i="10" s="1"/>
  <c r="I92" i="10" s="1"/>
  <c r="J92" i="10" s="1"/>
  <c r="K92" i="10" s="1"/>
  <c r="L92" i="10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H251" i="13" l="1"/>
  <c r="H216" i="13"/>
  <c r="H206" i="13"/>
  <c r="H183" i="13"/>
  <c r="H260" i="13"/>
  <c r="H175" i="13"/>
  <c r="H135" i="13"/>
  <c r="H126" i="13"/>
  <c r="H82" i="13"/>
  <c r="H50" i="13"/>
  <c r="H47" i="13"/>
  <c r="H274" i="13"/>
  <c r="H243" i="13"/>
  <c r="H240" i="13"/>
  <c r="H201" i="13"/>
  <c r="H198" i="13"/>
  <c r="H178" i="13"/>
  <c r="H171" i="13"/>
  <c r="H168" i="13"/>
  <c r="H165" i="13"/>
  <c r="H159" i="13"/>
  <c r="H152" i="13"/>
  <c r="H143" i="13"/>
  <c r="H140" i="13"/>
  <c r="H123" i="13"/>
  <c r="H120" i="13"/>
  <c r="H108" i="13"/>
  <c r="H102" i="13"/>
  <c r="H96" i="13"/>
  <c r="H87" i="13"/>
  <c r="H75" i="13"/>
  <c r="H63" i="13"/>
  <c r="H55" i="13"/>
  <c r="H277" i="13"/>
  <c r="H270" i="13"/>
  <c r="H256" i="13"/>
  <c r="H249" i="13"/>
  <c r="H232" i="13"/>
  <c r="H229" i="13"/>
  <c r="H226" i="13"/>
  <c r="H220" i="13"/>
  <c r="H217" i="13"/>
  <c r="H214" i="13"/>
  <c r="H191" i="13"/>
  <c r="H137" i="13"/>
  <c r="H131" i="13"/>
  <c r="H128" i="13"/>
  <c r="H117" i="13"/>
  <c r="H114" i="13"/>
  <c r="H93" i="13"/>
  <c r="H90" i="13"/>
  <c r="H84" i="13"/>
  <c r="H72" i="13"/>
  <c r="H60" i="13"/>
  <c r="H57" i="13"/>
  <c r="H52" i="13"/>
  <c r="H262" i="13"/>
  <c r="H194" i="13"/>
  <c r="H187" i="13"/>
  <c r="H125" i="13"/>
  <c r="H98" i="13"/>
  <c r="H65" i="13"/>
  <c r="H49" i="13"/>
  <c r="H46" i="13"/>
  <c r="H242" i="13"/>
  <c r="H222" i="13"/>
  <c r="H203" i="13"/>
  <c r="H197" i="13"/>
  <c r="H164" i="13"/>
  <c r="H161" i="13"/>
  <c r="H158" i="13"/>
  <c r="H151" i="13"/>
  <c r="H148" i="13"/>
  <c r="H142" i="13"/>
  <c r="H139" i="13"/>
  <c r="H122" i="13"/>
  <c r="H119" i="13"/>
  <c r="H107" i="13"/>
  <c r="H101" i="13"/>
  <c r="H95" i="13"/>
  <c r="H86" i="13"/>
  <c r="H74" i="13"/>
  <c r="H68" i="13"/>
  <c r="H62" i="13"/>
  <c r="H54" i="13"/>
  <c r="H225" i="13"/>
  <c r="H136" i="13"/>
  <c r="H133" i="13"/>
  <c r="H247" i="13"/>
  <c r="H221" i="13"/>
  <c r="H199" i="13"/>
  <c r="H150" i="13"/>
  <c r="H79" i="13"/>
  <c r="H58" i="13"/>
  <c r="H61" i="13"/>
  <c r="H179" i="13"/>
  <c r="H124" i="13"/>
  <c r="H103" i="13"/>
  <c r="H85" i="13"/>
  <c r="H64" i="13"/>
  <c r="H51" i="13"/>
  <c r="H257" i="13"/>
  <c r="H227" i="13"/>
  <c r="H209" i="13"/>
  <c r="H186" i="13"/>
  <c r="H138" i="13"/>
  <c r="H127" i="13"/>
  <c r="H113" i="13"/>
  <c r="H106" i="13"/>
  <c r="H71" i="13"/>
  <c r="H230" i="13"/>
  <c r="H212" i="13"/>
  <c r="H130" i="13"/>
  <c r="H109" i="13"/>
  <c r="H163" i="13"/>
  <c r="H91" i="13"/>
  <c r="H56" i="13"/>
  <c r="H53" i="13"/>
  <c r="H166" i="13"/>
  <c r="H144" i="13"/>
  <c r="H115" i="13"/>
  <c r="H94" i="13"/>
  <c r="H73" i="13"/>
  <c r="H244" i="13"/>
  <c r="H218" i="13"/>
  <c r="H169" i="13"/>
  <c r="H147" i="13"/>
  <c r="H118" i="13"/>
  <c r="H97" i="13"/>
  <c r="H83" i="13"/>
  <c r="H76" i="13"/>
  <c r="H45" i="13"/>
  <c r="H250" i="13"/>
  <c r="H228" i="13"/>
  <c r="H167" i="13"/>
  <c r="H239" i="13"/>
  <c r="H160" i="13"/>
  <c r="H234" i="13"/>
  <c r="H170" i="13"/>
  <c r="H253" i="13"/>
  <c r="H59" i="13"/>
  <c r="H105" i="13"/>
  <c r="H66" i="13"/>
  <c r="H141" i="13"/>
  <c r="H207" i="13"/>
  <c r="H241" i="13"/>
  <c r="H219" i="13"/>
  <c r="H162" i="13"/>
  <c r="H224" i="13"/>
  <c r="H155" i="13"/>
  <c r="H231" i="13"/>
  <c r="H157" i="13"/>
  <c r="H235" i="13"/>
  <c r="H67" i="13"/>
  <c r="H112" i="13"/>
  <c r="H69" i="13"/>
  <c r="H149" i="13"/>
  <c r="H215" i="13"/>
  <c r="H280" i="13"/>
  <c r="H211" i="13"/>
  <c r="H154" i="13"/>
  <c r="H213" i="13"/>
  <c r="H145" i="13"/>
  <c r="H223" i="13"/>
  <c r="H146" i="13"/>
  <c r="H208" i="13"/>
  <c r="H70" i="13"/>
  <c r="H116" i="13"/>
  <c r="H77" i="13"/>
  <c r="H153" i="13"/>
  <c r="H252" i="13"/>
  <c r="H272" i="13"/>
  <c r="H210" i="13"/>
  <c r="H281" i="13"/>
  <c r="H192" i="13"/>
  <c r="H132" i="13"/>
  <c r="H204" i="13"/>
  <c r="H134" i="13"/>
  <c r="H205" i="13"/>
  <c r="H78" i="13"/>
  <c r="H121" i="13"/>
  <c r="H80" i="13"/>
  <c r="H156" i="13"/>
  <c r="H265" i="13"/>
  <c r="H276" i="13"/>
  <c r="H263" i="13"/>
  <c r="H202" i="13"/>
  <c r="H273" i="13"/>
  <c r="H188" i="13"/>
  <c r="H278" i="13"/>
  <c r="H200" i="13"/>
  <c r="H129" i="13"/>
  <c r="H189" i="13"/>
  <c r="H81" i="13"/>
  <c r="H233" i="13"/>
  <c r="H88" i="13"/>
  <c r="H174" i="13"/>
  <c r="H275" i="13"/>
  <c r="H267" i="13"/>
  <c r="H254" i="13"/>
  <c r="H193" i="13"/>
  <c r="H264" i="13"/>
  <c r="H182" i="13"/>
  <c r="H268" i="13"/>
  <c r="H196" i="13"/>
  <c r="H110" i="13"/>
  <c r="H185" i="13"/>
  <c r="H89" i="13"/>
  <c r="H236" i="13"/>
  <c r="H99" i="13"/>
  <c r="H180" i="13"/>
  <c r="H279" i="13"/>
  <c r="H259" i="13"/>
  <c r="H245" i="13"/>
  <c r="H184" i="13"/>
  <c r="H255" i="13"/>
  <c r="H177" i="13"/>
  <c r="H172" i="13"/>
  <c r="H48" i="13"/>
  <c r="H195" i="13"/>
  <c r="H248" i="13"/>
  <c r="H92" i="13"/>
  <c r="H238" i="13"/>
  <c r="H100" i="13"/>
  <c r="H181" i="13"/>
  <c r="H261" i="13"/>
  <c r="H258" i="13"/>
  <c r="H173" i="13"/>
  <c r="H269" i="13"/>
  <c r="H237" i="13"/>
  <c r="H271" i="13"/>
  <c r="H104" i="13"/>
  <c r="H176" i="13"/>
  <c r="H266" i="13"/>
  <c r="H111" i="13"/>
  <c r="H246" i="13"/>
  <c r="H44" i="13"/>
  <c r="H190" i="13"/>
  <c r="F43" i="13"/>
  <c r="E43" i="13"/>
  <c r="F26" i="15"/>
  <c r="F47" i="15"/>
  <c r="F30" i="15"/>
  <c r="H33" i="9"/>
  <c r="G32" i="15"/>
  <c r="G43" i="13" l="1"/>
  <c r="F44" i="13"/>
  <c r="E44" i="13"/>
  <c r="G44" i="13" s="1"/>
  <c r="I33" i="9"/>
  <c r="H32" i="15"/>
  <c r="G47" i="15"/>
  <c r="G30" i="15"/>
  <c r="G26" i="15"/>
  <c r="F45" i="13" l="1"/>
  <c r="E45" i="13"/>
  <c r="H26" i="15"/>
  <c r="H47" i="15"/>
  <c r="H30" i="15"/>
  <c r="J33" i="9"/>
  <c r="I32" i="15"/>
  <c r="G45" i="13" l="1"/>
  <c r="E46" i="13"/>
  <c r="G46" i="13" s="1"/>
  <c r="F46" i="13"/>
  <c r="K33" i="9"/>
  <c r="J32" i="15"/>
  <c r="I47" i="15"/>
  <c r="I30" i="15"/>
  <c r="I26" i="15"/>
  <c r="F47" i="13" l="1"/>
  <c r="E47" i="13"/>
  <c r="J26" i="15"/>
  <c r="J47" i="15"/>
  <c r="J30" i="15"/>
  <c r="L33" i="9"/>
  <c r="K32" i="15"/>
  <c r="G47" i="13" l="1"/>
  <c r="F48" i="13"/>
  <c r="E48" i="13"/>
  <c r="G48" i="13" s="1"/>
  <c r="M33" i="9"/>
  <c r="L32" i="15"/>
  <c r="K47" i="15"/>
  <c r="K30" i="15"/>
  <c r="K26" i="15"/>
  <c r="E49" i="13" l="1"/>
  <c r="D49" i="13"/>
  <c r="L26" i="15"/>
  <c r="L47" i="15"/>
  <c r="L30" i="15"/>
  <c r="N33" i="9"/>
  <c r="N32" i="15" s="1"/>
  <c r="M32" i="15"/>
  <c r="G49" i="13" l="1"/>
  <c r="F49" i="13"/>
  <c r="N47" i="15"/>
  <c r="M47" i="15"/>
  <c r="N30" i="15"/>
  <c r="M30" i="15"/>
  <c r="N26" i="15"/>
  <c r="M26" i="15"/>
  <c r="D50" i="13" l="1"/>
  <c r="E50" i="13"/>
  <c r="F50" i="13"/>
  <c r="F25" i="9"/>
  <c r="F24" i="15" s="1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E107" i="10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3" i="9"/>
  <c r="D51" i="13" l="1"/>
  <c r="E51" i="13"/>
  <c r="F51" i="13"/>
  <c r="G50" i="13"/>
  <c r="G43" i="9"/>
  <c r="F42" i="15"/>
  <c r="F107" i="10"/>
  <c r="G107" i="10" s="1"/>
  <c r="H107" i="10" s="1"/>
  <c r="I107" i="10" s="1"/>
  <c r="J107" i="10" s="1"/>
  <c r="K107" i="10" s="1"/>
  <c r="L107" i="10" s="1"/>
  <c r="E110" i="10"/>
  <c r="D42" i="11"/>
  <c r="E52" i="13" l="1"/>
  <c r="D52" i="13"/>
  <c r="G52" i="13" s="1"/>
  <c r="G51" i="13"/>
  <c r="H43" i="9"/>
  <c r="G42" i="15"/>
  <c r="F110" i="10"/>
  <c r="D42" i="9"/>
  <c r="L118" i="10"/>
  <c r="B9" i="1"/>
  <c r="B8" i="1" s="1"/>
  <c r="B4" i="1"/>
  <c r="B3" i="1" s="1"/>
  <c r="B15" i="1"/>
  <c r="I29" i="2"/>
  <c r="L19" i="9" s="1"/>
  <c r="J29" i="2"/>
  <c r="M19" i="9" s="1"/>
  <c r="K29" i="2"/>
  <c r="N19" i="9" s="1"/>
  <c r="B29" i="2"/>
  <c r="B42" i="2"/>
  <c r="B40" i="2"/>
  <c r="B23" i="2"/>
  <c r="B9" i="2"/>
  <c r="B3" i="2"/>
  <c r="G3" i="2"/>
  <c r="J15" i="9" s="1"/>
  <c r="C3" i="2"/>
  <c r="F15" i="9" s="1"/>
  <c r="D3" i="2"/>
  <c r="G15" i="9" s="1"/>
  <c r="E3" i="2"/>
  <c r="H15" i="9" s="1"/>
  <c r="F3" i="2"/>
  <c r="I15" i="9" s="1"/>
  <c r="H3" i="2"/>
  <c r="K15" i="9" s="1"/>
  <c r="I3" i="2"/>
  <c r="L15" i="9" s="1"/>
  <c r="J3" i="2"/>
  <c r="M15" i="9" s="1"/>
  <c r="K3" i="2"/>
  <c r="N15" i="9" s="1"/>
  <c r="F52" i="13" l="1"/>
  <c r="E53" i="13"/>
  <c r="D53" i="13"/>
  <c r="G53" i="13" s="1"/>
  <c r="L14" i="15"/>
  <c r="L18" i="15"/>
  <c r="K14" i="15"/>
  <c r="F14" i="15"/>
  <c r="K18" i="15"/>
  <c r="G18" i="15"/>
  <c r="F18" i="15"/>
  <c r="N14" i="15"/>
  <c r="I14" i="15"/>
  <c r="J14" i="15"/>
  <c r="N18" i="15"/>
  <c r="J18" i="15"/>
  <c r="G14" i="15"/>
  <c r="H18" i="15"/>
  <c r="M14" i="15"/>
  <c r="H14" i="15"/>
  <c r="M18" i="15"/>
  <c r="I18" i="15"/>
  <c r="D41" i="15"/>
  <c r="E42" i="9"/>
  <c r="E41" i="15" s="1"/>
  <c r="T42" i="9"/>
  <c r="T41" i="15" s="1"/>
  <c r="I43" i="9"/>
  <c r="H42" i="15"/>
  <c r="G110" i="10"/>
  <c r="F53" i="13" l="1"/>
  <c r="J43" i="9"/>
  <c r="I42" i="15"/>
  <c r="H110" i="10"/>
  <c r="C15" i="10"/>
  <c r="C16" i="10"/>
  <c r="C17" i="10"/>
  <c r="C18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AH15" i="8" l="1"/>
  <c r="E54" i="13"/>
  <c r="D54" i="13"/>
  <c r="AI15" i="8"/>
  <c r="K43" i="9"/>
  <c r="J42" i="15"/>
  <c r="AM15" i="8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F16" i="8" s="1"/>
  <c r="E46" i="8" s="1"/>
  <c r="AJ17" i="8"/>
  <c r="AJ16" i="8" s="1"/>
  <c r="I46" i="8" s="1"/>
  <c r="AF20" i="8"/>
  <c r="AF19" i="8" s="1"/>
  <c r="E47" i="8" s="1"/>
  <c r="AJ20" i="8"/>
  <c r="AJ19" i="8" s="1"/>
  <c r="I47" i="8" s="1"/>
  <c r="AG14" i="8"/>
  <c r="AJ14" i="8"/>
  <c r="AK14" i="8"/>
  <c r="AM12" i="8"/>
  <c r="L45" i="8" s="1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K16" i="8" s="1"/>
  <c r="J46" i="8" s="1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G9" i="8" s="1"/>
  <c r="F44" i="8" s="1"/>
  <c r="AH10" i="8"/>
  <c r="AK10" i="8"/>
  <c r="AI10" i="8"/>
  <c r="AM10" i="8"/>
  <c r="AM9" i="8" s="1"/>
  <c r="L44" i="8" s="1"/>
  <c r="AF10" i="8"/>
  <c r="AF9" i="8" s="1"/>
  <c r="E44" i="8" s="1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G54" i="13" l="1"/>
  <c r="AH9" i="8"/>
  <c r="G44" i="8" s="1"/>
  <c r="F54" i="13"/>
  <c r="L43" i="9"/>
  <c r="K42" i="15"/>
  <c r="AM3" i="8"/>
  <c r="AM21" i="8" s="1"/>
  <c r="AK9" i="8"/>
  <c r="J44" i="8" s="1"/>
  <c r="AL9" i="8"/>
  <c r="K44" i="8" s="1"/>
  <c r="D7" i="10"/>
  <c r="E7" i="10" s="1"/>
  <c r="F7" i="10" s="1"/>
  <c r="D41" i="8"/>
  <c r="AL12" i="8"/>
  <c r="K45" i="8" s="1"/>
  <c r="J110" i="10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AL16" i="8"/>
  <c r="K46" i="8" s="1"/>
  <c r="AI9" i="8"/>
  <c r="H44" i="8" s="1"/>
  <c r="C16" i="8"/>
  <c r="D17" i="10" s="1"/>
  <c r="E17" i="10" s="1"/>
  <c r="F14" i="9" l="1"/>
  <c r="F13" i="15" s="1"/>
  <c r="G14" i="9"/>
  <c r="G13" i="15" s="1"/>
  <c r="L42" i="8"/>
  <c r="L41" i="8" s="1"/>
  <c r="N14" i="9" s="1"/>
  <c r="N13" i="15" s="1"/>
  <c r="D55" i="13"/>
  <c r="E55" i="13" s="1"/>
  <c r="G55" i="13" s="1"/>
  <c r="F55" i="13"/>
  <c r="M43" i="9"/>
  <c r="L42" i="15"/>
  <c r="F17" i="10"/>
  <c r="G17" i="10" s="1"/>
  <c r="H17" i="10" s="1"/>
  <c r="I17" i="10" s="1"/>
  <c r="J17" i="10" s="1"/>
  <c r="K17" i="10" s="1"/>
  <c r="L17" i="10" s="1"/>
  <c r="K41" i="8"/>
  <c r="M14" i="9" s="1"/>
  <c r="M13" i="15" s="1"/>
  <c r="AG21" i="8"/>
  <c r="F41" i="8"/>
  <c r="H14" i="9" s="1"/>
  <c r="K110" i="10"/>
  <c r="I41" i="8"/>
  <c r="K14" i="9" s="1"/>
  <c r="K13" i="15" s="1"/>
  <c r="AF21" i="8"/>
  <c r="AJ21" i="8"/>
  <c r="J41" i="8"/>
  <c r="L14" i="9" s="1"/>
  <c r="L13" i="15" s="1"/>
  <c r="H41" i="8"/>
  <c r="J14" i="9" s="1"/>
  <c r="J13" i="15" s="1"/>
  <c r="AI21" i="8"/>
  <c r="AK21" i="8"/>
  <c r="G7" i="10"/>
  <c r="H7" i="10" s="1"/>
  <c r="I7" i="10" s="1"/>
  <c r="J7" i="10" s="1"/>
  <c r="K7" i="10" s="1"/>
  <c r="L7" i="10" s="1"/>
  <c r="AL21" i="8"/>
  <c r="AH21" i="8"/>
  <c r="G41" i="8"/>
  <c r="I14" i="9" s="1"/>
  <c r="I13" i="15" s="1"/>
  <c r="D38" i="8"/>
  <c r="C13" i="10"/>
  <c r="C12" i="10" s="1"/>
  <c r="B46" i="11"/>
  <c r="D56" i="13" l="1"/>
  <c r="F56" i="13"/>
  <c r="H13" i="15"/>
  <c r="N43" i="9"/>
  <c r="N42" i="15" s="1"/>
  <c r="M42" i="15"/>
  <c r="L110" i="10"/>
  <c r="E38" i="8"/>
  <c r="D57" i="13" l="1"/>
  <c r="F57" i="13"/>
  <c r="E56" i="13"/>
  <c r="G56" i="13" s="1"/>
  <c r="F38" i="8"/>
  <c r="D58" i="13" l="1"/>
  <c r="E58" i="13" s="1"/>
  <c r="G58" i="13" s="1"/>
  <c r="E57" i="13"/>
  <c r="G57" i="13" s="1"/>
  <c r="G38" i="8"/>
  <c r="F58" i="13" l="1"/>
  <c r="D59" i="13" s="1"/>
  <c r="H38" i="8"/>
  <c r="E59" i="13" l="1"/>
  <c r="G59" i="13" s="1"/>
  <c r="F59" i="13"/>
  <c r="D60" i="13"/>
  <c r="E60" i="13" s="1"/>
  <c r="G60" i="13" s="1"/>
  <c r="I38" i="8"/>
  <c r="F60" i="13" l="1"/>
  <c r="J38" i="8"/>
  <c r="D61" i="13" l="1"/>
  <c r="F61" i="13"/>
  <c r="K38" i="8"/>
  <c r="D62" i="13" l="1"/>
  <c r="E62" i="13" s="1"/>
  <c r="G62" i="13" s="1"/>
  <c r="E61" i="13"/>
  <c r="G61" i="13" s="1"/>
  <c r="L38" i="8"/>
  <c r="F62" i="13" l="1"/>
  <c r="D63" i="13"/>
  <c r="E63" i="13" s="1"/>
  <c r="G63" i="13" s="1"/>
  <c r="F63" i="13" l="1"/>
  <c r="D64" i="13" l="1"/>
  <c r="F64" i="13" s="1"/>
  <c r="C50" i="11"/>
  <c r="K6" i="12"/>
  <c r="K7" i="12"/>
  <c r="K8" i="12"/>
  <c r="K10" i="12"/>
  <c r="K11" i="12"/>
  <c r="K21" i="12"/>
  <c r="D65" i="13" l="1"/>
  <c r="E65" i="13" s="1"/>
  <c r="G65" i="13" s="1"/>
  <c r="E64" i="13"/>
  <c r="G64" i="13" s="1"/>
  <c r="C105" i="10"/>
  <c r="C104" i="10" s="1"/>
  <c r="D84" i="10"/>
  <c r="D49" i="11"/>
  <c r="F65" i="13" l="1"/>
  <c r="D66" i="13" s="1"/>
  <c r="E84" i="10"/>
  <c r="C19" i="11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D26" i="11"/>
  <c r="E26" i="11"/>
  <c r="F26" i="11"/>
  <c r="G26" i="11"/>
  <c r="H26" i="11"/>
  <c r="I26" i="11"/>
  <c r="J26" i="11"/>
  <c r="K26" i="11"/>
  <c r="L26" i="11"/>
  <c r="C26" i="11"/>
  <c r="C25" i="11"/>
  <c r="D41" i="9"/>
  <c r="B46" i="9"/>
  <c r="B45" i="15" s="1"/>
  <c r="B47" i="9"/>
  <c r="B46" i="15" s="1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B24" i="12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9" i="11"/>
  <c r="B8" i="11"/>
  <c r="B6" i="11"/>
  <c r="B5" i="11"/>
  <c r="A4" i="11"/>
  <c r="A2" i="11"/>
  <c r="A1" i="11"/>
  <c r="B134" i="10"/>
  <c r="B116" i="10"/>
  <c r="C102" i="10"/>
  <c r="C93" i="10" s="1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6" i="10"/>
  <c r="B5" i="10"/>
  <c r="B23" i="9"/>
  <c r="B22" i="15" s="1"/>
  <c r="B56" i="9"/>
  <c r="B55" i="15" s="1"/>
  <c r="B55" i="9"/>
  <c r="B54" i="15" s="1"/>
  <c r="B54" i="9"/>
  <c r="B53" i="15" s="1"/>
  <c r="B53" i="9"/>
  <c r="B52" i="15" s="1"/>
  <c r="B52" i="9"/>
  <c r="B51" i="15" s="1"/>
  <c r="F50" i="9"/>
  <c r="F49" i="15" s="1"/>
  <c r="B51" i="9"/>
  <c r="B50" i="15" s="1"/>
  <c r="N50" i="9"/>
  <c r="N49" i="15" s="1"/>
  <c r="M50" i="9"/>
  <c r="M49" i="15" s="1"/>
  <c r="L50" i="9"/>
  <c r="L49" i="15" s="1"/>
  <c r="K50" i="9"/>
  <c r="K49" i="15" s="1"/>
  <c r="J50" i="9"/>
  <c r="J49" i="15" s="1"/>
  <c r="I50" i="9"/>
  <c r="I49" i="15" s="1"/>
  <c r="H50" i="9"/>
  <c r="H49" i="15" s="1"/>
  <c r="G50" i="9"/>
  <c r="G49" i="15" s="1"/>
  <c r="D50" i="9"/>
  <c r="B50" i="9"/>
  <c r="B49" i="15" s="1"/>
  <c r="B49" i="9"/>
  <c r="B48" i="15" s="1"/>
  <c r="B48" i="9"/>
  <c r="B47" i="15" s="1"/>
  <c r="B43" i="9"/>
  <c r="B42" i="15" s="1"/>
  <c r="B42" i="9"/>
  <c r="B41" i="15" s="1"/>
  <c r="B41" i="9"/>
  <c r="B40" i="15" s="1"/>
  <c r="B40" i="9"/>
  <c r="B39" i="15" s="1"/>
  <c r="B39" i="9"/>
  <c r="B38" i="15" s="1"/>
  <c r="B38" i="9"/>
  <c r="B37" i="15" s="1"/>
  <c r="B37" i="9"/>
  <c r="B36" i="15" s="1"/>
  <c r="L23" i="11"/>
  <c r="J23" i="11"/>
  <c r="I23" i="11"/>
  <c r="H23" i="11"/>
  <c r="E23" i="11"/>
  <c r="D23" i="11"/>
  <c r="B36" i="9"/>
  <c r="B35" i="15" s="1"/>
  <c r="B35" i="9"/>
  <c r="B34" i="15" s="1"/>
  <c r="B34" i="9"/>
  <c r="B33" i="15" s="1"/>
  <c r="K23" i="11"/>
  <c r="G23" i="11"/>
  <c r="F23" i="11"/>
  <c r="C23" i="11"/>
  <c r="B33" i="9"/>
  <c r="B32" i="15" s="1"/>
  <c r="B32" i="9"/>
  <c r="B31" i="15" s="1"/>
  <c r="G28" i="9"/>
  <c r="G27" i="15" s="1"/>
  <c r="B31" i="9"/>
  <c r="B30" i="15" s="1"/>
  <c r="B29" i="9"/>
  <c r="B28" i="15" s="1"/>
  <c r="F28" i="9"/>
  <c r="F27" i="15" s="1"/>
  <c r="D28" i="9"/>
  <c r="B28" i="9"/>
  <c r="B27" i="15" s="1"/>
  <c r="F24" i="9"/>
  <c r="F23" i="15" s="1"/>
  <c r="B27" i="9"/>
  <c r="B26" i="15" s="1"/>
  <c r="K24" i="9"/>
  <c r="K23" i="15" s="1"/>
  <c r="H24" i="9"/>
  <c r="H23" i="15" s="1"/>
  <c r="G24" i="9"/>
  <c r="G23" i="15" s="1"/>
  <c r="B26" i="9"/>
  <c r="B25" i="15" s="1"/>
  <c r="B25" i="9"/>
  <c r="B24" i="15" s="1"/>
  <c r="J24" i="9"/>
  <c r="J23" i="15" s="1"/>
  <c r="I24" i="9"/>
  <c r="I23" i="15" s="1"/>
  <c r="B24" i="9"/>
  <c r="B23" i="15" s="1"/>
  <c r="B22" i="9"/>
  <c r="B21" i="15" s="1"/>
  <c r="B21" i="9"/>
  <c r="B20" i="15" s="1"/>
  <c r="B20" i="9"/>
  <c r="B19" i="15" s="1"/>
  <c r="B19" i="9"/>
  <c r="B18" i="15" s="1"/>
  <c r="B18" i="9"/>
  <c r="B17" i="15" s="1"/>
  <c r="B17" i="9"/>
  <c r="B16" i="15" s="1"/>
  <c r="B16" i="9"/>
  <c r="B15" i="15" s="1"/>
  <c r="B15" i="9"/>
  <c r="B14" i="15" s="1"/>
  <c r="B14" i="9"/>
  <c r="B13" i="15" s="1"/>
  <c r="B13" i="9"/>
  <c r="B12" i="15" s="1"/>
  <c r="B12" i="9"/>
  <c r="B11" i="15" s="1"/>
  <c r="B11" i="9"/>
  <c r="B10" i="15" s="1"/>
  <c r="B10" i="9"/>
  <c r="B9" i="15" s="1"/>
  <c r="B8" i="9"/>
  <c r="B7" i="15" s="1"/>
  <c r="B7" i="9"/>
  <c r="B6" i="15" s="1"/>
  <c r="A3" i="9"/>
  <c r="A2" i="15" s="1"/>
  <c r="A2" i="9"/>
  <c r="A1" i="15" s="1"/>
  <c r="E66" i="13" l="1"/>
  <c r="G66" i="13" s="1"/>
  <c r="F66" i="13"/>
  <c r="D67" i="13"/>
  <c r="E67" i="13" s="1"/>
  <c r="G67" i="13" s="1"/>
  <c r="O21" i="12"/>
  <c r="N21" i="12"/>
  <c r="M21" i="12"/>
  <c r="L21" i="12"/>
  <c r="D27" i="15"/>
  <c r="E28" i="9"/>
  <c r="E27" i="15" s="1"/>
  <c r="T28" i="9"/>
  <c r="T27" i="15" s="1"/>
  <c r="D49" i="15"/>
  <c r="E50" i="9"/>
  <c r="E49" i="15" s="1"/>
  <c r="T50" i="9"/>
  <c r="T49" i="15" s="1"/>
  <c r="C24" i="11"/>
  <c r="C40" i="11" s="1"/>
  <c r="D40" i="15"/>
  <c r="E41" i="9"/>
  <c r="E40" i="15" s="1"/>
  <c r="T41" i="9"/>
  <c r="T40" i="15" s="1"/>
  <c r="F84" i="10"/>
  <c r="L13" i="11"/>
  <c r="L24" i="9"/>
  <c r="L23" i="15" s="1"/>
  <c r="M24" i="9"/>
  <c r="M23" i="15" s="1"/>
  <c r="H28" i="9"/>
  <c r="H27" i="15" s="1"/>
  <c r="D14" i="11"/>
  <c r="B13" i="12"/>
  <c r="C42" i="10"/>
  <c r="B23" i="12" s="1"/>
  <c r="F45" i="11"/>
  <c r="G45" i="11" s="1"/>
  <c r="H45" i="11" s="1"/>
  <c r="I45" i="11" s="1"/>
  <c r="J45" i="11" s="1"/>
  <c r="K45" i="11" s="1"/>
  <c r="L45" i="11" s="1"/>
  <c r="F14" i="11"/>
  <c r="N24" i="9"/>
  <c r="N23" i="15" s="1"/>
  <c r="F67" i="13" l="1"/>
  <c r="P21" i="12"/>
  <c r="G84" i="10"/>
  <c r="E14" i="11"/>
  <c r="G14" i="11"/>
  <c r="I28" i="9"/>
  <c r="I27" i="15" s="1"/>
  <c r="D68" i="13" l="1"/>
  <c r="F68" i="13"/>
  <c r="A39" i="13"/>
  <c r="H84" i="10"/>
  <c r="H14" i="11"/>
  <c r="J28" i="9"/>
  <c r="J27" i="15" s="1"/>
  <c r="D69" i="13" l="1"/>
  <c r="F69" i="13" s="1"/>
  <c r="E68" i="13"/>
  <c r="G68" i="13" s="1"/>
  <c r="I84" i="10"/>
  <c r="I14" i="11"/>
  <c r="K28" i="9"/>
  <c r="K27" i="15" s="1"/>
  <c r="D70" i="13" l="1"/>
  <c r="E70" i="13" s="1"/>
  <c r="G70" i="13" s="1"/>
  <c r="F70" i="13"/>
  <c r="E69" i="13"/>
  <c r="G69" i="13" s="1"/>
  <c r="J84" i="10"/>
  <c r="J14" i="11"/>
  <c r="L28" i="9"/>
  <c r="L27" i="15" s="1"/>
  <c r="D71" i="13" l="1"/>
  <c r="E71" i="13" s="1"/>
  <c r="G71" i="13" s="1"/>
  <c r="K84" i="10"/>
  <c r="K14" i="11"/>
  <c r="L14" i="11"/>
  <c r="N28" i="9"/>
  <c r="N27" i="15" s="1"/>
  <c r="M28" i="9"/>
  <c r="M27" i="15" s="1"/>
  <c r="F71" i="13" l="1"/>
  <c r="D72" i="13"/>
  <c r="F72" i="13"/>
  <c r="L84" i="10"/>
  <c r="D73" i="13" l="1"/>
  <c r="E73" i="13" s="1"/>
  <c r="G73" i="13" s="1"/>
  <c r="E72" i="13"/>
  <c r="G72" i="13" s="1"/>
  <c r="F16" i="9"/>
  <c r="G16" i="9"/>
  <c r="H16" i="9"/>
  <c r="F9" i="2"/>
  <c r="I16" i="9" s="1"/>
  <c r="G9" i="2"/>
  <c r="J16" i="9" s="1"/>
  <c r="H9" i="2"/>
  <c r="K16" i="9" s="1"/>
  <c r="I9" i="2"/>
  <c r="L16" i="9" s="1"/>
  <c r="J9" i="2"/>
  <c r="M16" i="9" s="1"/>
  <c r="K9" i="2"/>
  <c r="N16" i="9" s="1"/>
  <c r="C23" i="2"/>
  <c r="F17" i="9" s="1"/>
  <c r="D23" i="2"/>
  <c r="G17" i="9" s="1"/>
  <c r="E23" i="2"/>
  <c r="H17" i="9" s="1"/>
  <c r="F23" i="2"/>
  <c r="I17" i="9" s="1"/>
  <c r="G23" i="2"/>
  <c r="J17" i="9" s="1"/>
  <c r="H23" i="2"/>
  <c r="K17" i="9" s="1"/>
  <c r="I23" i="2"/>
  <c r="L17" i="9" s="1"/>
  <c r="J23" i="2"/>
  <c r="M17" i="9" s="1"/>
  <c r="K23" i="2"/>
  <c r="N17" i="9" s="1"/>
  <c r="C42" i="2"/>
  <c r="F21" i="9" s="1"/>
  <c r="D42" i="2"/>
  <c r="G21" i="9" s="1"/>
  <c r="E42" i="2"/>
  <c r="H21" i="9" s="1"/>
  <c r="F42" i="2"/>
  <c r="I21" i="9" s="1"/>
  <c r="G42" i="2"/>
  <c r="J21" i="9" s="1"/>
  <c r="H42" i="2"/>
  <c r="K21" i="9" s="1"/>
  <c r="I42" i="2"/>
  <c r="L21" i="9" s="1"/>
  <c r="J42" i="2"/>
  <c r="M21" i="9" s="1"/>
  <c r="K42" i="2"/>
  <c r="N21" i="9" s="1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L8" i="15" s="1"/>
  <c r="K9" i="9"/>
  <c r="K8" i="15" s="1"/>
  <c r="J9" i="9"/>
  <c r="J8" i="15" s="1"/>
  <c r="G9" i="9"/>
  <c r="G8" i="15" s="1"/>
  <c r="N9" i="9"/>
  <c r="N8" i="15" s="1"/>
  <c r="F9" i="9"/>
  <c r="F8" i="15" s="1"/>
  <c r="F73" i="13" l="1"/>
  <c r="L20" i="15"/>
  <c r="H20" i="15"/>
  <c r="M16" i="15"/>
  <c r="I16" i="15"/>
  <c r="N15" i="15"/>
  <c r="J15" i="15"/>
  <c r="F15" i="15"/>
  <c r="I20" i="15"/>
  <c r="K15" i="15"/>
  <c r="K20" i="15"/>
  <c r="G20" i="15"/>
  <c r="L16" i="15"/>
  <c r="H16" i="15"/>
  <c r="M15" i="15"/>
  <c r="I15" i="15"/>
  <c r="M20" i="15"/>
  <c r="N16" i="15"/>
  <c r="J16" i="15"/>
  <c r="F16" i="15"/>
  <c r="G15" i="15"/>
  <c r="N20" i="15"/>
  <c r="J20" i="15"/>
  <c r="F20" i="15"/>
  <c r="K16" i="15"/>
  <c r="G16" i="15"/>
  <c r="L15" i="15"/>
  <c r="H15" i="15"/>
  <c r="D15" i="10"/>
  <c r="E15" i="10" s="1"/>
  <c r="F15" i="10" s="1"/>
  <c r="G15" i="10" s="1"/>
  <c r="H15" i="10" s="1"/>
  <c r="I15" i="10" s="1"/>
  <c r="J15" i="10" s="1"/>
  <c r="K15" i="10" s="1"/>
  <c r="L15" i="10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43" i="11"/>
  <c r="F47" i="11"/>
  <c r="L47" i="11"/>
  <c r="J40" i="2"/>
  <c r="M20" i="9" s="1"/>
  <c r="I40" i="2"/>
  <c r="L20" i="9" s="1"/>
  <c r="H20" i="9"/>
  <c r="H40" i="2"/>
  <c r="K20" i="9" s="1"/>
  <c r="G20" i="9"/>
  <c r="F40" i="2"/>
  <c r="I20" i="9" s="1"/>
  <c r="K40" i="2"/>
  <c r="N20" i="9" s="1"/>
  <c r="G40" i="2"/>
  <c r="J20" i="9" s="1"/>
  <c r="F20" i="9"/>
  <c r="K12" i="9"/>
  <c r="G12" i="9"/>
  <c r="G11" i="15" s="1"/>
  <c r="I9" i="9"/>
  <c r="I8" i="15" s="1"/>
  <c r="M9" i="9"/>
  <c r="M8" i="15" s="1"/>
  <c r="N12" i="9"/>
  <c r="N22" i="9"/>
  <c r="N21" i="15" s="1"/>
  <c r="H22" i="9"/>
  <c r="H21" i="15" s="1"/>
  <c r="H12" i="9"/>
  <c r="H11" i="15" s="1"/>
  <c r="H9" i="9"/>
  <c r="H8" i="15" s="1"/>
  <c r="L22" i="9"/>
  <c r="L21" i="15" s="1"/>
  <c r="L12" i="9"/>
  <c r="G22" i="9"/>
  <c r="G21" i="15" s="1"/>
  <c r="K22" i="9"/>
  <c r="K21" i="15" s="1"/>
  <c r="D74" i="13" l="1"/>
  <c r="F74" i="13" s="1"/>
  <c r="J19" i="15"/>
  <c r="N19" i="15"/>
  <c r="H19" i="15"/>
  <c r="K19" i="15"/>
  <c r="I19" i="15"/>
  <c r="L19" i="15"/>
  <c r="F19" i="15"/>
  <c r="G13" i="9"/>
  <c r="M19" i="15"/>
  <c r="L7" i="9"/>
  <c r="L6" i="15" s="1"/>
  <c r="L11" i="15"/>
  <c r="N7" i="9"/>
  <c r="N6" i="15" s="1"/>
  <c r="N11" i="15"/>
  <c r="K7" i="9"/>
  <c r="K6" i="15" s="1"/>
  <c r="K11" i="15"/>
  <c r="N12" i="13"/>
  <c r="K12" i="13"/>
  <c r="D43" i="11"/>
  <c r="D47" i="11" s="1"/>
  <c r="C23" i="8"/>
  <c r="C24" i="8" s="1"/>
  <c r="C47" i="11"/>
  <c r="G12" i="13"/>
  <c r="K11" i="13"/>
  <c r="G11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F12" i="9"/>
  <c r="F11" i="15" s="1"/>
  <c r="F22" i="9"/>
  <c r="F21" i="15" s="1"/>
  <c r="H7" i="9"/>
  <c r="M22" i="9"/>
  <c r="M21" i="15" s="1"/>
  <c r="M12" i="9"/>
  <c r="N11" i="13"/>
  <c r="I22" i="9"/>
  <c r="I12" i="9"/>
  <c r="G7" i="9"/>
  <c r="D7" i="9"/>
  <c r="J12" i="9"/>
  <c r="J22" i="9"/>
  <c r="J21" i="15" s="1"/>
  <c r="D75" i="13" l="1"/>
  <c r="F75" i="13" s="1"/>
  <c r="E74" i="13"/>
  <c r="G74" i="13" s="1"/>
  <c r="G19" i="15"/>
  <c r="J6" i="11"/>
  <c r="G12" i="15"/>
  <c r="D6" i="15"/>
  <c r="E7" i="9"/>
  <c r="E6" i="15" s="1"/>
  <c r="T7" i="9"/>
  <c r="T6" i="15" s="1"/>
  <c r="I6" i="11"/>
  <c r="L6" i="11"/>
  <c r="I7" i="9"/>
  <c r="I6" i="15" s="1"/>
  <c r="I11" i="15"/>
  <c r="J12" i="13"/>
  <c r="J11" i="15"/>
  <c r="H11" i="13"/>
  <c r="I21" i="15"/>
  <c r="M7" i="9"/>
  <c r="K6" i="11" s="1"/>
  <c r="M11" i="15"/>
  <c r="F6" i="11"/>
  <c r="H6" i="15"/>
  <c r="E6" i="11"/>
  <c r="G6" i="15"/>
  <c r="C6" i="11"/>
  <c r="M12" i="13"/>
  <c r="L12" i="13"/>
  <c r="F12" i="13"/>
  <c r="E12" i="13"/>
  <c r="D49" i="10" s="1"/>
  <c r="F11" i="13"/>
  <c r="E11" i="13"/>
  <c r="D43" i="10" s="1"/>
  <c r="I11" i="13"/>
  <c r="I12" i="13"/>
  <c r="M11" i="13"/>
  <c r="L11" i="13"/>
  <c r="J11" i="13"/>
  <c r="H12" i="13"/>
  <c r="H13" i="9"/>
  <c r="K13" i="9"/>
  <c r="D13" i="10"/>
  <c r="D12" i="10" s="1"/>
  <c r="D6" i="10" s="1"/>
  <c r="F13" i="9"/>
  <c r="J13" i="9"/>
  <c r="I13" i="9"/>
  <c r="F7" i="9"/>
  <c r="J7" i="9"/>
  <c r="E9" i="11"/>
  <c r="G23" i="9"/>
  <c r="D76" i="13" l="1"/>
  <c r="E76" i="13" s="1"/>
  <c r="G76" i="13" s="1"/>
  <c r="F76" i="13"/>
  <c r="E75" i="13"/>
  <c r="G75" i="13" s="1"/>
  <c r="G6" i="11"/>
  <c r="F12" i="15"/>
  <c r="I12" i="15"/>
  <c r="H13" i="13"/>
  <c r="F13" i="13"/>
  <c r="K12" i="15"/>
  <c r="J13" i="13"/>
  <c r="J12" i="15"/>
  <c r="I13" i="13"/>
  <c r="H12" i="15"/>
  <c r="G13" i="13"/>
  <c r="M6" i="15"/>
  <c r="H6" i="11"/>
  <c r="J6" i="15"/>
  <c r="G32" i="9"/>
  <c r="G31" i="15" s="1"/>
  <c r="G22" i="15"/>
  <c r="D6" i="11"/>
  <c r="F6" i="15"/>
  <c r="E43" i="10"/>
  <c r="F43" i="10" s="1"/>
  <c r="G43" i="10" s="1"/>
  <c r="H43" i="10" s="1"/>
  <c r="I43" i="10" s="1"/>
  <c r="J43" i="10" s="1"/>
  <c r="K43" i="10" s="1"/>
  <c r="L43" i="10" s="1"/>
  <c r="E49" i="10"/>
  <c r="F49" i="10" s="1"/>
  <c r="G49" i="10" s="1"/>
  <c r="H49" i="10" s="1"/>
  <c r="I49" i="10" s="1"/>
  <c r="J49" i="10" s="1"/>
  <c r="K49" i="10" s="1"/>
  <c r="L49" i="10" s="1"/>
  <c r="K23" i="9"/>
  <c r="F9" i="11"/>
  <c r="I9" i="11"/>
  <c r="H23" i="9"/>
  <c r="L13" i="9"/>
  <c r="K13" i="13" s="1"/>
  <c r="H9" i="11"/>
  <c r="J23" i="9"/>
  <c r="G9" i="11"/>
  <c r="I23" i="9"/>
  <c r="D9" i="11"/>
  <c r="F23" i="9"/>
  <c r="D77" i="13" l="1"/>
  <c r="E77" i="13" s="1"/>
  <c r="G77" i="13" s="1"/>
  <c r="F77" i="13"/>
  <c r="L12" i="15"/>
  <c r="J32" i="9"/>
  <c r="J31" i="15" s="1"/>
  <c r="J22" i="15"/>
  <c r="H32" i="9"/>
  <c r="H31" i="15" s="1"/>
  <c r="H22" i="15"/>
  <c r="K32" i="9"/>
  <c r="K31" i="15" s="1"/>
  <c r="K22" i="15"/>
  <c r="I32" i="9"/>
  <c r="I31" i="15" s="1"/>
  <c r="I22" i="15"/>
  <c r="F32" i="9"/>
  <c r="F31" i="15" s="1"/>
  <c r="F22" i="15"/>
  <c r="L23" i="9"/>
  <c r="J9" i="11"/>
  <c r="N13" i="9"/>
  <c r="M13" i="9"/>
  <c r="L13" i="13" s="1"/>
  <c r="D78" i="13" l="1"/>
  <c r="F78" i="13"/>
  <c r="N12" i="15"/>
  <c r="N13" i="13"/>
  <c r="M13" i="13"/>
  <c r="M12" i="15"/>
  <c r="L32" i="9"/>
  <c r="L31" i="15" s="1"/>
  <c r="L22" i="15"/>
  <c r="L9" i="11"/>
  <c r="N23" i="9"/>
  <c r="M23" i="9"/>
  <c r="K9" i="11"/>
  <c r="D79" i="13" l="1"/>
  <c r="F79" i="13"/>
  <c r="E78" i="13"/>
  <c r="G78" i="13" s="1"/>
  <c r="M32" i="9"/>
  <c r="M31" i="15" s="1"/>
  <c r="M22" i="15"/>
  <c r="N32" i="9"/>
  <c r="N31" i="15" s="1"/>
  <c r="N22" i="15"/>
  <c r="D80" i="13" l="1"/>
  <c r="F80" i="13"/>
  <c r="E79" i="13"/>
  <c r="G79" i="13" s="1"/>
  <c r="D55" i="10"/>
  <c r="D81" i="13" l="1"/>
  <c r="F81" i="13"/>
  <c r="E80" i="13"/>
  <c r="G80" i="13" s="1"/>
  <c r="E12" i="11"/>
  <c r="D12" i="11"/>
  <c r="D82" i="13" l="1"/>
  <c r="E82" i="13" s="1"/>
  <c r="G82" i="13" s="1"/>
  <c r="E81" i="13"/>
  <c r="G81" i="13" s="1"/>
  <c r="F55" i="10"/>
  <c r="F82" i="13" l="1"/>
  <c r="D83" i="13"/>
  <c r="E83" i="13" s="1"/>
  <c r="G83" i="13" s="1"/>
  <c r="F12" i="11"/>
  <c r="G55" i="10"/>
  <c r="F83" i="13" l="1"/>
  <c r="L117" i="10"/>
  <c r="H55" i="10"/>
  <c r="G12" i="11"/>
  <c r="D84" i="13" l="1"/>
  <c r="E84" i="13" s="1"/>
  <c r="G84" i="13" s="1"/>
  <c r="F84" i="13"/>
  <c r="H12" i="11"/>
  <c r="I55" i="10"/>
  <c r="D85" i="13" l="1"/>
  <c r="J55" i="10"/>
  <c r="I12" i="11"/>
  <c r="E85" i="13" l="1"/>
  <c r="G85" i="13"/>
  <c r="F85" i="13"/>
  <c r="K55" i="10"/>
  <c r="J12" i="11"/>
  <c r="D86" i="13" l="1"/>
  <c r="F86" i="13"/>
  <c r="K12" i="11"/>
  <c r="L12" i="11"/>
  <c r="D87" i="13" l="1"/>
  <c r="E87" i="13" s="1"/>
  <c r="G87" i="13" s="1"/>
  <c r="F87" i="13"/>
  <c r="E86" i="13"/>
  <c r="G86" i="13" s="1"/>
  <c r="L55" i="10"/>
  <c r="E55" i="10"/>
  <c r="D13" i="9"/>
  <c r="E13" i="13" s="1"/>
  <c r="D88" i="13" l="1"/>
  <c r="E88" i="13" s="1"/>
  <c r="G88" i="13" s="1"/>
  <c r="F88" i="13"/>
  <c r="D120" i="10"/>
  <c r="D12" i="15"/>
  <c r="E13" i="9"/>
  <c r="E12" i="15" s="1"/>
  <c r="T13" i="9"/>
  <c r="T12" i="15" s="1"/>
  <c r="C9" i="11"/>
  <c r="D23" i="9"/>
  <c r="E120" i="10" l="1"/>
  <c r="D16" i="11"/>
  <c r="D89" i="13"/>
  <c r="E89" i="13" s="1"/>
  <c r="G89" i="13" s="1"/>
  <c r="F89" i="13"/>
  <c r="E23" i="9"/>
  <c r="E22" i="15" s="1"/>
  <c r="D22" i="15"/>
  <c r="T23" i="9"/>
  <c r="T22" i="15" s="1"/>
  <c r="D15" i="11"/>
  <c r="F120" i="10" l="1"/>
  <c r="E16" i="11"/>
  <c r="D90" i="13"/>
  <c r="E90" i="13" s="1"/>
  <c r="G90" i="13" s="1"/>
  <c r="E57" i="10"/>
  <c r="E15" i="11"/>
  <c r="G120" i="10" l="1"/>
  <c r="F16" i="11"/>
  <c r="F57" i="10" s="1"/>
  <c r="F90" i="13"/>
  <c r="D91" i="13"/>
  <c r="F91" i="13"/>
  <c r="F15" i="11"/>
  <c r="H120" i="10" l="1"/>
  <c r="G16" i="11"/>
  <c r="D92" i="13"/>
  <c r="F92" i="13"/>
  <c r="E91" i="13"/>
  <c r="G91" i="13" s="1"/>
  <c r="G57" i="10"/>
  <c r="G15" i="11"/>
  <c r="I120" i="10" l="1"/>
  <c r="H16" i="11"/>
  <c r="H57" i="10" s="1"/>
  <c r="D93" i="13"/>
  <c r="E93" i="13" s="1"/>
  <c r="G93" i="13" s="1"/>
  <c r="F93" i="13"/>
  <c r="E92" i="13"/>
  <c r="G92" i="13" s="1"/>
  <c r="H15" i="11"/>
  <c r="J120" i="10" l="1"/>
  <c r="I16" i="11"/>
  <c r="I57" i="10" s="1"/>
  <c r="D94" i="13"/>
  <c r="F94" i="13"/>
  <c r="I15" i="11"/>
  <c r="K120" i="10" l="1"/>
  <c r="J16" i="11"/>
  <c r="D95" i="13"/>
  <c r="E95" i="13" s="1"/>
  <c r="G95" i="13" s="1"/>
  <c r="E94" i="13"/>
  <c r="G94" i="13" s="1"/>
  <c r="J57" i="10"/>
  <c r="J15" i="11"/>
  <c r="L120" i="10" l="1"/>
  <c r="L16" i="11" s="1"/>
  <c r="K16" i="11"/>
  <c r="K57" i="10" s="1"/>
  <c r="F95" i="13"/>
  <c r="D96" i="13" s="1"/>
  <c r="K15" i="11"/>
  <c r="E96" i="13" l="1"/>
  <c r="G96" i="13" s="1"/>
  <c r="F96" i="13"/>
  <c r="L116" i="10"/>
  <c r="L109" i="10" s="1"/>
  <c r="L57" i="10"/>
  <c r="L15" i="11"/>
  <c r="D97" i="13" l="1"/>
  <c r="F97" i="13" s="1"/>
  <c r="D98" i="13" l="1"/>
  <c r="E98" i="13" s="1"/>
  <c r="G98" i="13" s="1"/>
  <c r="E97" i="13"/>
  <c r="G97" i="13"/>
  <c r="F98" i="13" l="1"/>
  <c r="D99" i="13" s="1"/>
  <c r="F99" i="13" s="1"/>
  <c r="D100" i="13" s="1"/>
  <c r="E99" i="13" l="1"/>
  <c r="G99" i="13" s="1"/>
  <c r="E100" i="13"/>
  <c r="G100" i="13" s="1"/>
  <c r="F100" i="13"/>
  <c r="D101" i="13" l="1"/>
  <c r="E101" i="13" l="1"/>
  <c r="G101" i="13" s="1"/>
  <c r="F101" i="13"/>
  <c r="D102" i="13" l="1"/>
  <c r="E102" i="13" l="1"/>
  <c r="G102" i="13" s="1"/>
  <c r="F102" i="13"/>
  <c r="D103" i="13" l="1"/>
  <c r="E103" i="13" l="1"/>
  <c r="G103" i="13" s="1"/>
  <c r="F103" i="13"/>
  <c r="D104" i="13" l="1"/>
  <c r="E104" i="13" l="1"/>
  <c r="F104" i="13"/>
  <c r="D105" i="13" l="1"/>
  <c r="F105" i="13" s="1"/>
  <c r="G104" i="13"/>
  <c r="D106" i="13" l="1"/>
  <c r="E105" i="13"/>
  <c r="G105" i="13" s="1"/>
  <c r="E106" i="13" l="1"/>
  <c r="G106" i="13" s="1"/>
  <c r="F106" i="13"/>
  <c r="D107" i="13" l="1"/>
  <c r="E107" i="13" l="1"/>
  <c r="G107" i="13" s="1"/>
  <c r="F107" i="13"/>
  <c r="D108" i="13" l="1"/>
  <c r="F108" i="13" s="1"/>
  <c r="D109" i="13" l="1"/>
  <c r="F109" i="13"/>
  <c r="E108" i="13"/>
  <c r="G108" i="13" s="1"/>
  <c r="D110" i="13" l="1"/>
  <c r="E109" i="13"/>
  <c r="G109" i="13"/>
  <c r="E110" i="13" l="1"/>
  <c r="G110" i="13" s="1"/>
  <c r="F110" i="13"/>
  <c r="D111" i="13" l="1"/>
  <c r="E111" i="13" l="1"/>
  <c r="G111" i="13" s="1"/>
  <c r="F111" i="13"/>
  <c r="D112" i="13" l="1"/>
  <c r="E112" i="13" l="1"/>
  <c r="G112" i="13" s="1"/>
  <c r="F112" i="13"/>
  <c r="D113" i="13" l="1"/>
  <c r="E113" i="13" l="1"/>
  <c r="G113" i="13" s="1"/>
  <c r="F113" i="13"/>
  <c r="D114" i="13" l="1"/>
  <c r="F114" i="13" s="1"/>
  <c r="D115" i="13" l="1"/>
  <c r="E114" i="13"/>
  <c r="G114" i="13" s="1"/>
  <c r="E115" i="13" l="1"/>
  <c r="G115" i="13"/>
  <c r="F115" i="13"/>
  <c r="D116" i="13" l="1"/>
  <c r="E116" i="13" l="1"/>
  <c r="F116" i="13"/>
  <c r="D117" i="13" l="1"/>
  <c r="G116" i="13"/>
  <c r="E117" i="13" l="1"/>
  <c r="G117" i="13" s="1"/>
  <c r="F117" i="13"/>
  <c r="D118" i="13" l="1"/>
  <c r="E118" i="13" l="1"/>
  <c r="G118" i="13" s="1"/>
  <c r="F118" i="13"/>
  <c r="D119" i="13" l="1"/>
  <c r="F119" i="13" s="1"/>
  <c r="D120" i="13" l="1"/>
  <c r="E119" i="13"/>
  <c r="G119" i="13" s="1"/>
  <c r="E120" i="13" l="1"/>
  <c r="G120" i="13" s="1"/>
  <c r="F120" i="13"/>
  <c r="D121" i="13" l="1"/>
  <c r="E121" i="13" l="1"/>
  <c r="G121" i="13" s="1"/>
  <c r="F121" i="13"/>
  <c r="D122" i="13" l="1"/>
  <c r="F122" i="13" s="1"/>
  <c r="D123" i="13" l="1"/>
  <c r="F123" i="13" s="1"/>
  <c r="E122" i="13"/>
  <c r="G122" i="13" s="1"/>
  <c r="D124" i="13" l="1"/>
  <c r="E123" i="13"/>
  <c r="G123" i="13"/>
  <c r="E124" i="13" l="1"/>
  <c r="G124" i="13" s="1"/>
  <c r="F124" i="13"/>
  <c r="D125" i="13" l="1"/>
  <c r="E125" i="13" l="1"/>
  <c r="G125" i="13" s="1"/>
  <c r="F125" i="13"/>
  <c r="D126" i="13" l="1"/>
  <c r="E126" i="13" l="1"/>
  <c r="G126" i="13" s="1"/>
  <c r="F126" i="13"/>
  <c r="C7" i="11"/>
  <c r="C21" i="11" s="1"/>
  <c r="C48" i="11" s="1"/>
  <c r="D24" i="9"/>
  <c r="D127" i="13" l="1"/>
  <c r="D32" i="9"/>
  <c r="B27" i="12" s="1"/>
  <c r="C52" i="11" s="1"/>
  <c r="D23" i="15"/>
  <c r="E24" i="9"/>
  <c r="E23" i="15" s="1"/>
  <c r="T24" i="9"/>
  <c r="T23" i="15" s="1"/>
  <c r="E127" i="13" l="1"/>
  <c r="G127" i="13" s="1"/>
  <c r="F127" i="13"/>
  <c r="B26" i="12"/>
  <c r="D49" i="9"/>
  <c r="D53" i="9" s="1"/>
  <c r="D31" i="15"/>
  <c r="E32" i="9"/>
  <c r="E31" i="15" s="1"/>
  <c r="T32" i="9"/>
  <c r="T31" i="15" s="1"/>
  <c r="D128" i="13" l="1"/>
  <c r="F128" i="13" s="1"/>
  <c r="T49" i="9"/>
  <c r="T48" i="15" s="1"/>
  <c r="E49" i="9"/>
  <c r="E48" i="15" s="1"/>
  <c r="D48" i="15"/>
  <c r="D56" i="9"/>
  <c r="D52" i="15"/>
  <c r="E53" i="9"/>
  <c r="E52" i="15" s="1"/>
  <c r="T53" i="9"/>
  <c r="T52" i="15" s="1"/>
  <c r="D129" i="13" l="1"/>
  <c r="E128" i="13"/>
  <c r="G128" i="13" s="1"/>
  <c r="E56" i="9"/>
  <c r="E55" i="15" s="1"/>
  <c r="D55" i="15"/>
  <c r="T56" i="9"/>
  <c r="T55" i="15" s="1"/>
  <c r="B17" i="12"/>
  <c r="E129" i="13" l="1"/>
  <c r="G129" i="13" s="1"/>
  <c r="F129" i="13"/>
  <c r="C83" i="10"/>
  <c r="D90" i="10"/>
  <c r="M83" i="10"/>
  <c r="M134" i="10" s="1"/>
  <c r="D130" i="13" l="1"/>
  <c r="C134" i="10"/>
  <c r="B20" i="12"/>
  <c r="B5" i="12"/>
  <c r="E130" i="13" l="1"/>
  <c r="F130" i="13"/>
  <c r="D131" i="13" l="1"/>
  <c r="F131" i="13" s="1"/>
  <c r="G130" i="13"/>
  <c r="D132" i="13" l="1"/>
  <c r="E131" i="13"/>
  <c r="G131" i="13" s="1"/>
  <c r="E132" i="13" l="1"/>
  <c r="G132" i="13" s="1"/>
  <c r="F132" i="13"/>
  <c r="D133" i="13" l="1"/>
  <c r="E133" i="13" l="1"/>
  <c r="G133" i="13" s="1"/>
  <c r="F133" i="13"/>
  <c r="D134" i="13" l="1"/>
  <c r="E134" i="13" l="1"/>
  <c r="G134" i="13" s="1"/>
  <c r="F134" i="13"/>
  <c r="D135" i="13" l="1"/>
  <c r="F135" i="13"/>
  <c r="D136" i="13" l="1"/>
  <c r="F136" i="13" s="1"/>
  <c r="E135" i="13"/>
  <c r="G135" i="13" s="1"/>
  <c r="D137" i="13" l="1"/>
  <c r="F137" i="13" s="1"/>
  <c r="E136" i="13"/>
  <c r="G136" i="13" s="1"/>
  <c r="D138" i="13" l="1"/>
  <c r="E137" i="13"/>
  <c r="G137" i="13"/>
  <c r="E138" i="13" l="1"/>
  <c r="G138" i="13" s="1"/>
  <c r="F138" i="13"/>
  <c r="D139" i="13" l="1"/>
  <c r="F139" i="13" s="1"/>
  <c r="D140" i="13" l="1"/>
  <c r="F140" i="13" s="1"/>
  <c r="E139" i="13"/>
  <c r="G139" i="13"/>
  <c r="D141" i="13" l="1"/>
  <c r="F141" i="13" s="1"/>
  <c r="E140" i="13"/>
  <c r="G140" i="13"/>
  <c r="D142" i="13" l="1"/>
  <c r="F142" i="13" s="1"/>
  <c r="E141" i="13"/>
  <c r="G141" i="13" s="1"/>
  <c r="D143" i="13" l="1"/>
  <c r="E142" i="13"/>
  <c r="G142" i="13" l="1"/>
  <c r="E143" i="13"/>
  <c r="G143" i="13" s="1"/>
  <c r="F143" i="13"/>
  <c r="D144" i="13" l="1"/>
  <c r="F144" i="13"/>
  <c r="D145" i="13" l="1"/>
  <c r="E144" i="13"/>
  <c r="G144" i="13" s="1"/>
  <c r="E145" i="13" l="1"/>
  <c r="G145" i="13" s="1"/>
  <c r="F145" i="13"/>
  <c r="D146" i="13" l="1"/>
  <c r="E146" i="13" l="1"/>
  <c r="G146" i="13" s="1"/>
  <c r="F146" i="13"/>
  <c r="D147" i="13" l="1"/>
  <c r="F147" i="13" s="1"/>
  <c r="D148" i="13" l="1"/>
  <c r="E147" i="13"/>
  <c r="G147" i="13" s="1"/>
  <c r="E148" i="13" l="1"/>
  <c r="G148" i="13" s="1"/>
  <c r="F148" i="13"/>
  <c r="D149" i="13" l="1"/>
  <c r="F149" i="13"/>
  <c r="D150" i="13" l="1"/>
  <c r="E149" i="13"/>
  <c r="G149" i="13" s="1"/>
  <c r="E150" i="13" l="1"/>
  <c r="G150" i="13"/>
  <c r="F150" i="13"/>
  <c r="D151" i="13" l="1"/>
  <c r="F151" i="13"/>
  <c r="D152" i="13" l="1"/>
  <c r="E151" i="13"/>
  <c r="G151" i="13" s="1"/>
  <c r="E152" i="13" l="1"/>
  <c r="G152" i="13"/>
  <c r="F152" i="13"/>
  <c r="D153" i="13" l="1"/>
  <c r="F153" i="13" s="1"/>
  <c r="D154" i="13" l="1"/>
  <c r="E153" i="13"/>
  <c r="G153" i="13" l="1"/>
  <c r="E154" i="13"/>
  <c r="G154" i="13"/>
  <c r="F154" i="13"/>
  <c r="D155" i="13" l="1"/>
  <c r="F155" i="13"/>
  <c r="D156" i="13" l="1"/>
  <c r="E155" i="13"/>
  <c r="G155" i="13" s="1"/>
  <c r="E156" i="13" l="1"/>
  <c r="G156" i="13" s="1"/>
  <c r="F156" i="13"/>
  <c r="D157" i="13" l="1"/>
  <c r="E157" i="13" l="1"/>
  <c r="G157" i="13" s="1"/>
  <c r="F157" i="13"/>
  <c r="D158" i="13" l="1"/>
  <c r="F158" i="13"/>
  <c r="D159" i="13" l="1"/>
  <c r="E158" i="13"/>
  <c r="G158" i="13" s="1"/>
  <c r="E159" i="13" l="1"/>
  <c r="G159" i="13" s="1"/>
  <c r="F159" i="13"/>
  <c r="D160" i="13" l="1"/>
  <c r="E160" i="13" l="1"/>
  <c r="G160" i="13" s="1"/>
  <c r="F160" i="13"/>
  <c r="D161" i="13" l="1"/>
  <c r="F161" i="13"/>
  <c r="D162" i="13" l="1"/>
  <c r="I43" i="13" s="1"/>
  <c r="E161" i="13"/>
  <c r="G161" i="13" s="1"/>
  <c r="D30" i="11" l="1"/>
  <c r="E34" i="11"/>
  <c r="E162" i="13"/>
  <c r="J43" i="13" s="1"/>
  <c r="E25" i="11" s="1"/>
  <c r="G44" i="9" s="1"/>
  <c r="G162" i="13"/>
  <c r="I55" i="13"/>
  <c r="F34" i="11" s="1"/>
  <c r="I67" i="13"/>
  <c r="G34" i="11" s="1"/>
  <c r="I79" i="13"/>
  <c r="H34" i="11" s="1"/>
  <c r="I91" i="13"/>
  <c r="I34" i="11" s="1"/>
  <c r="I103" i="13"/>
  <c r="J34" i="11" s="1"/>
  <c r="I115" i="13"/>
  <c r="K34" i="11" s="1"/>
  <c r="I127" i="13"/>
  <c r="L34" i="11" s="1"/>
  <c r="I139" i="13"/>
  <c r="I151" i="13"/>
  <c r="I162" i="13"/>
  <c r="F162" i="13"/>
  <c r="E106" i="10" l="1"/>
  <c r="F43" i="15"/>
  <c r="F42" i="9"/>
  <c r="H118" i="10"/>
  <c r="H117" i="10" s="1"/>
  <c r="H116" i="10" s="1"/>
  <c r="H109" i="10" s="1"/>
  <c r="I30" i="11"/>
  <c r="G118" i="10"/>
  <c r="G117" i="10" s="1"/>
  <c r="G116" i="10" s="1"/>
  <c r="G109" i="10" s="1"/>
  <c r="H30" i="11"/>
  <c r="F118" i="10"/>
  <c r="F117" i="10" s="1"/>
  <c r="F116" i="10" s="1"/>
  <c r="F109" i="10" s="1"/>
  <c r="G30" i="11"/>
  <c r="J30" i="11"/>
  <c r="I118" i="10"/>
  <c r="I117" i="10" s="1"/>
  <c r="I116" i="10" s="1"/>
  <c r="I109" i="10" s="1"/>
  <c r="E118" i="10"/>
  <c r="F30" i="11"/>
  <c r="I102" i="13"/>
  <c r="I114" i="13" s="1"/>
  <c r="I126" i="13" s="1"/>
  <c r="I138" i="13" s="1"/>
  <c r="I150" i="13" s="1"/>
  <c r="I163" i="13" s="1"/>
  <c r="D163" i="13"/>
  <c r="F163" i="13" s="1"/>
  <c r="K118" i="10"/>
  <c r="K117" i="10" s="1"/>
  <c r="K116" i="10" s="1"/>
  <c r="K109" i="10" s="1"/>
  <c r="L30" i="11"/>
  <c r="J118" i="10"/>
  <c r="J117" i="10" s="1"/>
  <c r="J116" i="10" s="1"/>
  <c r="J109" i="10" s="1"/>
  <c r="K30" i="11"/>
  <c r="J55" i="13"/>
  <c r="F25" i="11" s="1"/>
  <c r="H44" i="9" s="1"/>
  <c r="J67" i="13"/>
  <c r="G25" i="11" s="1"/>
  <c r="I44" i="9" s="1"/>
  <c r="J79" i="13"/>
  <c r="H25" i="11" s="1"/>
  <c r="J44" i="9" s="1"/>
  <c r="J91" i="13"/>
  <c r="I25" i="11" s="1"/>
  <c r="K44" i="9" s="1"/>
  <c r="J103" i="13"/>
  <c r="J25" i="11" s="1"/>
  <c r="L44" i="9" s="1"/>
  <c r="J115" i="13"/>
  <c r="K25" i="11" s="1"/>
  <c r="M44" i="9" s="1"/>
  <c r="J127" i="13"/>
  <c r="L25" i="11" s="1"/>
  <c r="N44" i="9" s="1"/>
  <c r="J139" i="13"/>
  <c r="J151" i="13"/>
  <c r="J162" i="13"/>
  <c r="F41" i="15" l="1"/>
  <c r="F41" i="9"/>
  <c r="K43" i="15"/>
  <c r="K42" i="9"/>
  <c r="J43" i="15"/>
  <c r="J42" i="9"/>
  <c r="I43" i="15"/>
  <c r="I42" i="9"/>
  <c r="E163" i="13"/>
  <c r="G163" i="13" s="1"/>
  <c r="H43" i="15"/>
  <c r="H42" i="9"/>
  <c r="D164" i="13"/>
  <c r="F164" i="13" s="1"/>
  <c r="J102" i="13"/>
  <c r="J114" i="13" s="1"/>
  <c r="J126" i="13" s="1"/>
  <c r="J138" i="13" s="1"/>
  <c r="J150" i="13" s="1"/>
  <c r="J163" i="13" s="1"/>
  <c r="D117" i="10"/>
  <c r="D116" i="10" s="1"/>
  <c r="D109" i="10" s="1"/>
  <c r="D105" i="10"/>
  <c r="D104" i="10" s="1"/>
  <c r="D102" i="10" s="1"/>
  <c r="E30" i="11"/>
  <c r="N43" i="15"/>
  <c r="N42" i="9"/>
  <c r="M43" i="15"/>
  <c r="M42" i="9"/>
  <c r="L43" i="15"/>
  <c r="L42" i="9"/>
  <c r="E117" i="10"/>
  <c r="E116" i="10" s="1"/>
  <c r="E109" i="10" s="1"/>
  <c r="F106" i="10" l="1"/>
  <c r="D24" i="11"/>
  <c r="F40" i="15"/>
  <c r="F49" i="9"/>
  <c r="J41" i="9"/>
  <c r="J41" i="15"/>
  <c r="H41" i="9"/>
  <c r="H41" i="15"/>
  <c r="E105" i="10"/>
  <c r="E104" i="10" s="1"/>
  <c r="E102" i="10" s="1"/>
  <c r="E93" i="10" s="1"/>
  <c r="M41" i="9"/>
  <c r="M41" i="15"/>
  <c r="K41" i="9"/>
  <c r="K41" i="15"/>
  <c r="D165" i="13"/>
  <c r="G43" i="15"/>
  <c r="G42" i="9"/>
  <c r="I41" i="9"/>
  <c r="I41" i="15"/>
  <c r="D93" i="10"/>
  <c r="C13" i="12" s="1"/>
  <c r="L41" i="9"/>
  <c r="L41" i="15"/>
  <c r="N41" i="9"/>
  <c r="N41" i="15"/>
  <c r="E164" i="13"/>
  <c r="G164" i="13" s="1"/>
  <c r="F53" i="9" l="1"/>
  <c r="F48" i="15"/>
  <c r="D40" i="11"/>
  <c r="C26" i="12"/>
  <c r="C27" i="12"/>
  <c r="D13" i="12"/>
  <c r="L40" i="15"/>
  <c r="J24" i="11"/>
  <c r="L49" i="9"/>
  <c r="M40" i="15"/>
  <c r="M49" i="9"/>
  <c r="K24" i="11"/>
  <c r="F105" i="10"/>
  <c r="F104" i="10" s="1"/>
  <c r="F102" i="10" s="1"/>
  <c r="F93" i="10" s="1"/>
  <c r="G106" i="10"/>
  <c r="H40" i="15"/>
  <c r="F24" i="11"/>
  <c r="H49" i="9"/>
  <c r="E165" i="13"/>
  <c r="G165" i="13" s="1"/>
  <c r="I40" i="15"/>
  <c r="I49" i="9"/>
  <c r="G24" i="11"/>
  <c r="F165" i="13"/>
  <c r="N40" i="15"/>
  <c r="N49" i="9"/>
  <c r="L24" i="11"/>
  <c r="G41" i="9"/>
  <c r="G41" i="15"/>
  <c r="K40" i="15"/>
  <c r="I24" i="11"/>
  <c r="K49" i="9"/>
  <c r="J40" i="15"/>
  <c r="H24" i="11"/>
  <c r="J49" i="9"/>
  <c r="F54" i="9" l="1"/>
  <c r="F52" i="15"/>
  <c r="M53" i="9"/>
  <c r="M48" i="15"/>
  <c r="J27" i="12"/>
  <c r="K40" i="11"/>
  <c r="J26" i="12"/>
  <c r="D166" i="13"/>
  <c r="L53" i="9"/>
  <c r="L48" i="15"/>
  <c r="N53" i="9"/>
  <c r="N48" i="15"/>
  <c r="H27" i="12"/>
  <c r="I40" i="11"/>
  <c r="H26" i="12"/>
  <c r="F40" i="11"/>
  <c r="E26" i="12"/>
  <c r="E27" i="12"/>
  <c r="I27" i="12"/>
  <c r="J40" i="11"/>
  <c r="I26" i="12"/>
  <c r="H53" i="9"/>
  <c r="H48" i="15"/>
  <c r="K53" i="9"/>
  <c r="K48" i="15"/>
  <c r="E24" i="11"/>
  <c r="G40" i="15"/>
  <c r="G49" i="9"/>
  <c r="F27" i="12"/>
  <c r="F26" i="12"/>
  <c r="G40" i="11"/>
  <c r="G105" i="10"/>
  <c r="G104" i="10" s="1"/>
  <c r="G102" i="10" s="1"/>
  <c r="G93" i="10" s="1"/>
  <c r="H106" i="10"/>
  <c r="G27" i="12"/>
  <c r="H40" i="11"/>
  <c r="G26" i="12"/>
  <c r="J53" i="9"/>
  <c r="J48" i="15"/>
  <c r="K27" i="12"/>
  <c r="L40" i="11"/>
  <c r="K26" i="12"/>
  <c r="I53" i="9"/>
  <c r="I48" i="15"/>
  <c r="E13" i="12"/>
  <c r="F53" i="15" l="1"/>
  <c r="D19" i="11"/>
  <c r="D21" i="11" s="1"/>
  <c r="D48" i="11" s="1"/>
  <c r="F56" i="9"/>
  <c r="F13" i="12"/>
  <c r="K52" i="15"/>
  <c r="K54" i="9"/>
  <c r="E166" i="13"/>
  <c r="G166" i="13" s="1"/>
  <c r="L54" i="9"/>
  <c r="L52" i="15"/>
  <c r="F166" i="13"/>
  <c r="H54" i="9"/>
  <c r="H52" i="15"/>
  <c r="H105" i="10"/>
  <c r="H104" i="10" s="1"/>
  <c r="H102" i="10" s="1"/>
  <c r="H93" i="10" s="1"/>
  <c r="I106" i="10"/>
  <c r="G53" i="9"/>
  <c r="G48" i="15"/>
  <c r="J52" i="15"/>
  <c r="J54" i="9"/>
  <c r="N54" i="9"/>
  <c r="N52" i="15"/>
  <c r="M49" i="12"/>
  <c r="O49" i="12"/>
  <c r="N49" i="12"/>
  <c r="L49" i="12"/>
  <c r="I54" i="9"/>
  <c r="I52" i="15"/>
  <c r="E40" i="11"/>
  <c r="D26" i="12"/>
  <c r="D27" i="12"/>
  <c r="M54" i="9"/>
  <c r="M52" i="15"/>
  <c r="C17" i="12" l="1"/>
  <c r="F55" i="15"/>
  <c r="D91" i="10"/>
  <c r="D52" i="11"/>
  <c r="D50" i="11"/>
  <c r="P49" i="12"/>
  <c r="I56" i="9"/>
  <c r="I53" i="15"/>
  <c r="G19" i="11"/>
  <c r="G21" i="11" s="1"/>
  <c r="G48" i="11" s="1"/>
  <c r="L53" i="15"/>
  <c r="J19" i="11"/>
  <c r="J21" i="11" s="1"/>
  <c r="J48" i="11" s="1"/>
  <c r="L56" i="9"/>
  <c r="G54" i="9"/>
  <c r="G52" i="15"/>
  <c r="G13" i="12"/>
  <c r="K53" i="15"/>
  <c r="I19" i="11"/>
  <c r="I21" i="11" s="1"/>
  <c r="I48" i="11" s="1"/>
  <c r="K56" i="9"/>
  <c r="M53" i="15"/>
  <c r="K19" i="11"/>
  <c r="K21" i="11" s="1"/>
  <c r="K48" i="11" s="1"/>
  <c r="M56" i="9"/>
  <c r="I105" i="10"/>
  <c r="I104" i="10" s="1"/>
  <c r="I102" i="10" s="1"/>
  <c r="I93" i="10" s="1"/>
  <c r="J106" i="10"/>
  <c r="O26" i="12"/>
  <c r="L26" i="12"/>
  <c r="M26" i="12"/>
  <c r="N26" i="12"/>
  <c r="H53" i="15"/>
  <c r="H56" i="9"/>
  <c r="F19" i="11"/>
  <c r="F21" i="11" s="1"/>
  <c r="F48" i="11" s="1"/>
  <c r="F52" i="11" s="1"/>
  <c r="N53" i="15"/>
  <c r="L19" i="11"/>
  <c r="L21" i="11" s="1"/>
  <c r="L48" i="11" s="1"/>
  <c r="N56" i="9"/>
  <c r="J53" i="15"/>
  <c r="J56" i="9"/>
  <c r="H19" i="11"/>
  <c r="H21" i="11" s="1"/>
  <c r="H48" i="11" s="1"/>
  <c r="D167" i="13"/>
  <c r="F167" i="13" s="1"/>
  <c r="D62" i="10" l="1"/>
  <c r="E49" i="11"/>
  <c r="D83" i="10"/>
  <c r="E90" i="10"/>
  <c r="J17" i="12"/>
  <c r="M55" i="15"/>
  <c r="K91" i="10"/>
  <c r="J55" i="15"/>
  <c r="G17" i="12"/>
  <c r="H91" i="10"/>
  <c r="L55" i="15"/>
  <c r="J91" i="10"/>
  <c r="I17" i="12"/>
  <c r="D168" i="13"/>
  <c r="K55" i="15"/>
  <c r="I91" i="10"/>
  <c r="H17" i="12"/>
  <c r="J52" i="11"/>
  <c r="K52" i="11"/>
  <c r="L91" i="10"/>
  <c r="N55" i="15"/>
  <c r="K17" i="12"/>
  <c r="I52" i="11"/>
  <c r="H52" i="11"/>
  <c r="E19" i="11"/>
  <c r="E21" i="11" s="1"/>
  <c r="E48" i="11" s="1"/>
  <c r="G53" i="15"/>
  <c r="G56" i="9"/>
  <c r="P26" i="12"/>
  <c r="G52" i="11"/>
  <c r="H55" i="15"/>
  <c r="F91" i="10"/>
  <c r="E17" i="12"/>
  <c r="L52" i="11"/>
  <c r="J105" i="10"/>
  <c r="J104" i="10" s="1"/>
  <c r="J102" i="10" s="1"/>
  <c r="J93" i="10" s="1"/>
  <c r="K106" i="10"/>
  <c r="E167" i="13"/>
  <c r="G167" i="13" s="1"/>
  <c r="H13" i="12"/>
  <c r="I55" i="15"/>
  <c r="G91" i="10"/>
  <c r="F17" i="12"/>
  <c r="C5" i="12" l="1"/>
  <c r="D134" i="10"/>
  <c r="C20" i="12"/>
  <c r="D42" i="10"/>
  <c r="C24" i="12"/>
  <c r="D17" i="12"/>
  <c r="G55" i="15"/>
  <c r="E91" i="10"/>
  <c r="E168" i="13"/>
  <c r="G168" i="13" s="1"/>
  <c r="E52" i="11"/>
  <c r="E50" i="11"/>
  <c r="L40" i="12"/>
  <c r="O40" i="12"/>
  <c r="N40" i="12"/>
  <c r="M40" i="12"/>
  <c r="K105" i="10"/>
  <c r="K104" i="10" s="1"/>
  <c r="K102" i="10" s="1"/>
  <c r="K93" i="10" s="1"/>
  <c r="L106" i="10"/>
  <c r="L105" i="10" s="1"/>
  <c r="L104" i="10" s="1"/>
  <c r="L102" i="10" s="1"/>
  <c r="L93" i="10" s="1"/>
  <c r="K13" i="12" s="1"/>
  <c r="I13" i="12"/>
  <c r="F168" i="13"/>
  <c r="D80" i="10" l="1"/>
  <c r="D135" i="10" s="1"/>
  <c r="C23" i="12"/>
  <c r="F90" i="10"/>
  <c r="E83" i="10"/>
  <c r="F49" i="11"/>
  <c r="F50" i="11" s="1"/>
  <c r="E62" i="10"/>
  <c r="J13" i="12"/>
  <c r="D169" i="13"/>
  <c r="P40" i="12"/>
  <c r="N17" i="12"/>
  <c r="L17" i="12"/>
  <c r="O17" i="12"/>
  <c r="M17" i="12"/>
  <c r="C12" i="12" l="1"/>
  <c r="E169" i="13"/>
  <c r="G169" i="13"/>
  <c r="G49" i="11"/>
  <c r="G50" i="11" s="1"/>
  <c r="F62" i="10"/>
  <c r="F169" i="13"/>
  <c r="P17" i="12"/>
  <c r="D5" i="12"/>
  <c r="E134" i="10"/>
  <c r="D20" i="12"/>
  <c r="D24" i="12"/>
  <c r="E42" i="10"/>
  <c r="G90" i="10"/>
  <c r="F83" i="10"/>
  <c r="E5" i="12" l="1"/>
  <c r="F134" i="10"/>
  <c r="E20" i="12"/>
  <c r="O5" i="12"/>
  <c r="L5" i="12"/>
  <c r="M5" i="12"/>
  <c r="N5" i="12"/>
  <c r="D170" i="13"/>
  <c r="F170" i="13" s="1"/>
  <c r="G83" i="10"/>
  <c r="H90" i="10"/>
  <c r="G62" i="10"/>
  <c r="H49" i="11"/>
  <c r="H50" i="11" s="1"/>
  <c r="D23" i="12"/>
  <c r="E80" i="10"/>
  <c r="F42" i="10"/>
  <c r="E24" i="12"/>
  <c r="L24" i="12"/>
  <c r="N24" i="12"/>
  <c r="M24" i="12"/>
  <c r="O24" i="12"/>
  <c r="P5" i="12" l="1"/>
  <c r="D19" i="12"/>
  <c r="D12" i="12"/>
  <c r="I49" i="11"/>
  <c r="I50" i="11" s="1"/>
  <c r="H62" i="10"/>
  <c r="P24" i="12"/>
  <c r="M47" i="12"/>
  <c r="N47" i="12"/>
  <c r="L47" i="12"/>
  <c r="O47" i="12"/>
  <c r="D171" i="13"/>
  <c r="F171" i="13"/>
  <c r="M39" i="12"/>
  <c r="L39" i="12"/>
  <c r="N39" i="12"/>
  <c r="O39" i="12"/>
  <c r="N23" i="12"/>
  <c r="M23" i="12"/>
  <c r="L23" i="12"/>
  <c r="O23" i="12"/>
  <c r="G42" i="10"/>
  <c r="F24" i="12"/>
  <c r="H83" i="10"/>
  <c r="I90" i="10"/>
  <c r="G134" i="10"/>
  <c r="F5" i="12"/>
  <c r="F20" i="12"/>
  <c r="F80" i="10"/>
  <c r="F135" i="10" s="1"/>
  <c r="E23" i="12"/>
  <c r="E170" i="13"/>
  <c r="G170" i="13" s="1"/>
  <c r="E135" i="10"/>
  <c r="P23" i="12" l="1"/>
  <c r="N46" i="12"/>
  <c r="L46" i="12"/>
  <c r="M46" i="12"/>
  <c r="O46" i="12"/>
  <c r="G80" i="10"/>
  <c r="F23" i="12"/>
  <c r="H42" i="10"/>
  <c r="G24" i="12"/>
  <c r="D172" i="13"/>
  <c r="F172" i="13"/>
  <c r="I62" i="10"/>
  <c r="J49" i="11"/>
  <c r="J50" i="11" s="1"/>
  <c r="E171" i="13"/>
  <c r="G171" i="13" s="1"/>
  <c r="H134" i="10"/>
  <c r="G5" i="12"/>
  <c r="G20" i="12"/>
  <c r="P47" i="12"/>
  <c r="L19" i="12"/>
  <c r="M19" i="12"/>
  <c r="N19" i="12"/>
  <c r="O19" i="12"/>
  <c r="P39" i="12"/>
  <c r="E12" i="12"/>
  <c r="E19" i="12"/>
  <c r="J90" i="10"/>
  <c r="I83" i="10"/>
  <c r="H80" i="10" l="1"/>
  <c r="G23" i="12"/>
  <c r="H135" i="10"/>
  <c r="F12" i="12"/>
  <c r="F19" i="12"/>
  <c r="J62" i="10"/>
  <c r="K49" i="11"/>
  <c r="K50" i="11" s="1"/>
  <c r="H5" i="12"/>
  <c r="I134" i="10"/>
  <c r="H20" i="12"/>
  <c r="I42" i="10"/>
  <c r="H24" i="12"/>
  <c r="G135" i="10"/>
  <c r="D173" i="13"/>
  <c r="P46" i="12"/>
  <c r="P19" i="12"/>
  <c r="B29" i="12" s="1"/>
  <c r="J83" i="10"/>
  <c r="K90" i="10"/>
  <c r="M42" i="12"/>
  <c r="N42" i="12"/>
  <c r="L42" i="12"/>
  <c r="O42" i="12"/>
  <c r="E172" i="13"/>
  <c r="G172" i="13"/>
  <c r="L49" i="11" l="1"/>
  <c r="L50" i="11" s="1"/>
  <c r="L62" i="10" s="1"/>
  <c r="K62" i="10"/>
  <c r="E173" i="13"/>
  <c r="G173" i="13" s="1"/>
  <c r="I80" i="10"/>
  <c r="I135" i="10" s="1"/>
  <c r="H23" i="12"/>
  <c r="J42" i="10"/>
  <c r="I24" i="12"/>
  <c r="P42" i="12"/>
  <c r="C29" i="12" s="1"/>
  <c r="F173" i="13"/>
  <c r="L90" i="10"/>
  <c r="L83" i="10" s="1"/>
  <c r="K83" i="10"/>
  <c r="J134" i="10"/>
  <c r="I5" i="12"/>
  <c r="I20" i="12"/>
  <c r="G12" i="12"/>
  <c r="G19" i="12"/>
  <c r="K134" i="10" l="1"/>
  <c r="J5" i="12"/>
  <c r="J20" i="12"/>
  <c r="J80" i="10"/>
  <c r="J135" i="10" s="1"/>
  <c r="I23" i="12"/>
  <c r="D174" i="13"/>
  <c r="K5" i="12"/>
  <c r="L134" i="10"/>
  <c r="K20" i="12"/>
  <c r="K42" i="10"/>
  <c r="J24" i="12"/>
  <c r="H19" i="12"/>
  <c r="H12" i="12"/>
  <c r="L42" i="10"/>
  <c r="K24" i="12"/>
  <c r="E174" i="13" l="1"/>
  <c r="G174" i="13" s="1"/>
  <c r="F174" i="13"/>
  <c r="I19" i="12"/>
  <c r="I12" i="12"/>
  <c r="K23" i="12"/>
  <c r="L80" i="10"/>
  <c r="K80" i="10"/>
  <c r="K135" i="10" s="1"/>
  <c r="J23" i="12"/>
  <c r="K12" i="12" l="1"/>
  <c r="K19" i="12"/>
  <c r="L135" i="10"/>
  <c r="D175" i="13"/>
  <c r="F175" i="13" s="1"/>
  <c r="J19" i="12"/>
  <c r="J12" i="12"/>
  <c r="D176" i="13" l="1"/>
  <c r="E175" i="13"/>
  <c r="G175" i="13" s="1"/>
  <c r="E176" i="13" l="1"/>
  <c r="G176" i="13"/>
  <c r="F176" i="13"/>
  <c r="D177" i="13" l="1"/>
  <c r="E177" i="13" l="1"/>
  <c r="G177" i="13" s="1"/>
  <c r="F177" i="13"/>
  <c r="D178" i="13" l="1"/>
  <c r="F178" i="13"/>
  <c r="D179" i="13" l="1"/>
  <c r="F179" i="13"/>
  <c r="E178" i="13"/>
  <c r="G178" i="13" s="1"/>
  <c r="D180" i="13" l="1"/>
  <c r="F180" i="13"/>
  <c r="E179" i="13"/>
  <c r="G179" i="13"/>
  <c r="D181" i="13" l="1"/>
  <c r="E180" i="13"/>
  <c r="G180" i="13"/>
  <c r="E181" i="13" l="1"/>
  <c r="G181" i="13"/>
  <c r="F181" i="13"/>
  <c r="D182" i="13" l="1"/>
  <c r="E182" i="13" l="1"/>
  <c r="G182" i="13" s="1"/>
  <c r="F182" i="13"/>
  <c r="D183" i="13" l="1"/>
  <c r="F183" i="13"/>
  <c r="D184" i="13" l="1"/>
  <c r="E183" i="13"/>
  <c r="G183" i="13" s="1"/>
  <c r="E184" i="13" l="1"/>
  <c r="G184" i="13" s="1"/>
  <c r="F184" i="13"/>
  <c r="D185" i="13" l="1"/>
  <c r="E185" i="13" l="1"/>
  <c r="G185" i="13"/>
  <c r="F185" i="13"/>
  <c r="D186" i="13" l="1"/>
  <c r="E186" i="13" l="1"/>
  <c r="G186" i="13" s="1"/>
  <c r="F186" i="13"/>
  <c r="D187" i="13" l="1"/>
  <c r="F187" i="13"/>
  <c r="D188" i="13" l="1"/>
  <c r="E187" i="13"/>
  <c r="G187" i="13" s="1"/>
  <c r="E188" i="13" l="1"/>
  <c r="G188" i="13"/>
  <c r="F188" i="13"/>
  <c r="D189" i="13" l="1"/>
  <c r="F189" i="13"/>
  <c r="D190" i="13" l="1"/>
  <c r="E189" i="13"/>
  <c r="G189" i="13"/>
  <c r="E190" i="13" l="1"/>
  <c r="G190" i="13"/>
  <c r="F190" i="13"/>
  <c r="D191" i="13" l="1"/>
  <c r="E191" i="13" l="1"/>
  <c r="G191" i="13"/>
  <c r="F191" i="13"/>
  <c r="D192" i="13" l="1"/>
  <c r="E192" i="13" l="1"/>
  <c r="G192" i="13" s="1"/>
  <c r="F192" i="13"/>
  <c r="D193" i="13" l="1"/>
  <c r="E193" i="13" l="1"/>
  <c r="G193" i="13" s="1"/>
  <c r="F193" i="13"/>
  <c r="D194" i="13" l="1"/>
  <c r="F194" i="13"/>
  <c r="D195" i="13" l="1"/>
  <c r="F195" i="13"/>
  <c r="E194" i="13"/>
  <c r="G194" i="13" s="1"/>
  <c r="D196" i="13" l="1"/>
  <c r="E195" i="13"/>
  <c r="G195" i="13"/>
  <c r="E196" i="13" l="1"/>
  <c r="G196" i="13"/>
  <c r="F196" i="13"/>
  <c r="D197" i="13" l="1"/>
  <c r="F197" i="13"/>
  <c r="D198" i="13" l="1"/>
  <c r="F198" i="13"/>
  <c r="E197" i="13"/>
  <c r="G197" i="13" s="1"/>
  <c r="D199" i="13" l="1"/>
  <c r="E198" i="13"/>
  <c r="G198" i="13"/>
  <c r="E199" i="13" l="1"/>
  <c r="G199" i="13"/>
  <c r="F199" i="13"/>
  <c r="D200" i="13" l="1"/>
  <c r="E200" i="13" l="1"/>
  <c r="G200" i="13" s="1"/>
  <c r="F200" i="13"/>
  <c r="D201" i="13" l="1"/>
  <c r="F201" i="13" s="1"/>
  <c r="D202" i="13" l="1"/>
  <c r="F202" i="13"/>
  <c r="E201" i="13"/>
  <c r="G201" i="13" s="1"/>
  <c r="D203" i="13" l="1"/>
  <c r="E202" i="13"/>
  <c r="G202" i="13" s="1"/>
  <c r="E203" i="13" l="1"/>
  <c r="G203" i="13" s="1"/>
  <c r="F203" i="13"/>
  <c r="D204" i="13" l="1"/>
  <c r="F204" i="13"/>
  <c r="D205" i="13" l="1"/>
  <c r="E204" i="13"/>
  <c r="G204" i="13" s="1"/>
  <c r="E205" i="13" l="1"/>
  <c r="G205" i="13" s="1"/>
  <c r="F205" i="13"/>
  <c r="D206" i="13" l="1"/>
  <c r="F206" i="13"/>
  <c r="D207" i="13" l="1"/>
  <c r="E206" i="13"/>
  <c r="G206" i="13"/>
  <c r="E207" i="13" l="1"/>
  <c r="G207" i="13"/>
  <c r="F207" i="13"/>
  <c r="D208" i="13" l="1"/>
  <c r="E208" i="13" l="1"/>
  <c r="G208" i="13" s="1"/>
  <c r="F208" i="13"/>
  <c r="D209" i="13" l="1"/>
  <c r="F209" i="13"/>
  <c r="D210" i="13" l="1"/>
  <c r="F210" i="13"/>
  <c r="E209" i="13"/>
  <c r="G209" i="13" s="1"/>
  <c r="D211" i="13" l="1"/>
  <c r="E210" i="13"/>
  <c r="G210" i="13"/>
  <c r="E211" i="13" l="1"/>
  <c r="G211" i="13"/>
  <c r="F211" i="13"/>
  <c r="D212" i="13" l="1"/>
  <c r="E212" i="13" l="1"/>
  <c r="G212" i="13" s="1"/>
  <c r="F212" i="13"/>
  <c r="D213" i="13" l="1"/>
  <c r="E213" i="13" l="1"/>
  <c r="G213" i="13" s="1"/>
  <c r="F213" i="13"/>
  <c r="D214" i="13" l="1"/>
  <c r="F214" i="13"/>
  <c r="D215" i="13" l="1"/>
  <c r="F215" i="13"/>
  <c r="E214" i="13"/>
  <c r="G214" i="13" s="1"/>
  <c r="D216" i="13" l="1"/>
  <c r="F216" i="13"/>
  <c r="E215" i="13"/>
  <c r="G215" i="13" s="1"/>
  <c r="D217" i="13" l="1"/>
  <c r="E216" i="13"/>
  <c r="G216" i="13"/>
  <c r="E217" i="13" l="1"/>
  <c r="G217" i="13" s="1"/>
  <c r="F217" i="13"/>
  <c r="D218" i="13" l="1"/>
  <c r="E218" i="13" l="1"/>
  <c r="G218" i="13" s="1"/>
  <c r="F218" i="13"/>
  <c r="D219" i="13" l="1"/>
  <c r="E219" i="13" l="1"/>
  <c r="G219" i="13" s="1"/>
  <c r="F219" i="13"/>
  <c r="D220" i="13" l="1"/>
  <c r="F220" i="13"/>
  <c r="D221" i="13" l="1"/>
  <c r="F221" i="13" s="1"/>
  <c r="E220" i="13"/>
  <c r="G220" i="13" s="1"/>
  <c r="D222" i="13" l="1"/>
  <c r="E221" i="13"/>
  <c r="G221" i="13"/>
  <c r="E222" i="13" l="1"/>
  <c r="G222" i="13" s="1"/>
  <c r="F222" i="13"/>
  <c r="D223" i="13" l="1"/>
  <c r="E223" i="13" l="1"/>
  <c r="G223" i="13" s="1"/>
  <c r="F223" i="13"/>
  <c r="D224" i="13" l="1"/>
  <c r="F224" i="13" s="1"/>
  <c r="D225" i="13" l="1"/>
  <c r="F225" i="13" s="1"/>
  <c r="E224" i="13"/>
  <c r="G224" i="13" s="1"/>
  <c r="D226" i="13" l="1"/>
  <c r="E225" i="13"/>
  <c r="G225" i="13" s="1"/>
  <c r="E226" i="13" l="1"/>
  <c r="G226" i="13" s="1"/>
  <c r="F226" i="13"/>
  <c r="D227" i="13" l="1"/>
  <c r="F227" i="13"/>
  <c r="D228" i="13" l="1"/>
  <c r="E227" i="13"/>
  <c r="G227" i="13" s="1"/>
  <c r="E228" i="13" l="1"/>
  <c r="G228" i="13" s="1"/>
  <c r="F228" i="13"/>
  <c r="D229" i="13" l="1"/>
  <c r="E229" i="13" l="1"/>
  <c r="G229" i="13"/>
  <c r="F229" i="13"/>
  <c r="D230" i="13" l="1"/>
  <c r="E230" i="13" l="1"/>
  <c r="G230" i="13" s="1"/>
  <c r="F230" i="13"/>
  <c r="D231" i="13" l="1"/>
  <c r="E231" i="13" l="1"/>
  <c r="G231" i="13" s="1"/>
  <c r="F231" i="13"/>
  <c r="D232" i="13" l="1"/>
  <c r="F232" i="13"/>
  <c r="D233" i="13" l="1"/>
  <c r="F233" i="13"/>
  <c r="E232" i="13"/>
  <c r="G232" i="13"/>
  <c r="D234" i="13" l="1"/>
  <c r="E233" i="13"/>
  <c r="G233" i="13" s="1"/>
  <c r="E234" i="13" l="1"/>
  <c r="G234" i="13" s="1"/>
  <c r="F234" i="13"/>
  <c r="D235" i="13" l="1"/>
  <c r="E235" i="13" l="1"/>
  <c r="G235" i="13"/>
  <c r="F235" i="13"/>
  <c r="D236" i="13" l="1"/>
  <c r="E236" i="13" l="1"/>
  <c r="G236" i="13" s="1"/>
  <c r="F236" i="13"/>
  <c r="D237" i="13" l="1"/>
  <c r="F237" i="13"/>
  <c r="D238" i="13" l="1"/>
  <c r="E237" i="13"/>
  <c r="G237" i="13"/>
  <c r="E238" i="13" l="1"/>
  <c r="G238" i="13" s="1"/>
  <c r="F238" i="13"/>
  <c r="D239" i="13" l="1"/>
  <c r="E239" i="13" l="1"/>
  <c r="G239" i="13" s="1"/>
  <c r="F239" i="13"/>
  <c r="D240" i="13" l="1"/>
  <c r="F240" i="13"/>
  <c r="D241" i="13" l="1"/>
  <c r="F241" i="13"/>
  <c r="E240" i="13"/>
  <c r="G240" i="13" s="1"/>
  <c r="D242" i="13" l="1"/>
  <c r="E241" i="13"/>
  <c r="G241" i="13"/>
  <c r="E242" i="13" l="1"/>
  <c r="G242" i="13"/>
  <c r="F242" i="13"/>
  <c r="D243" i="13" l="1"/>
  <c r="E243" i="13" l="1"/>
  <c r="G243" i="13" s="1"/>
  <c r="F243" i="13"/>
  <c r="D244" i="13" l="1"/>
  <c r="F244" i="13"/>
  <c r="D245" i="13" l="1"/>
  <c r="F245" i="13"/>
  <c r="E244" i="13"/>
  <c r="G244" i="13" s="1"/>
  <c r="D246" i="13" l="1"/>
  <c r="E245" i="13"/>
  <c r="G245" i="13"/>
  <c r="E246" i="13" l="1"/>
  <c r="G246" i="13"/>
  <c r="F246" i="13"/>
  <c r="D247" i="13" l="1"/>
  <c r="E247" i="13" l="1"/>
  <c r="G247" i="13"/>
  <c r="F247" i="13"/>
  <c r="D248" i="13" l="1"/>
  <c r="E248" i="13" l="1"/>
  <c r="G248" i="13" s="1"/>
  <c r="F248" i="13"/>
  <c r="D249" i="13" l="1"/>
  <c r="F249" i="13" s="1"/>
  <c r="D250" i="13" l="1"/>
  <c r="F250" i="13"/>
  <c r="E249" i="13"/>
  <c r="G249" i="13" s="1"/>
  <c r="D251" i="13" l="1"/>
  <c r="F251" i="13"/>
  <c r="E250" i="13"/>
  <c r="G250" i="13" s="1"/>
  <c r="D252" i="13" l="1"/>
  <c r="E251" i="13"/>
  <c r="G251" i="13"/>
  <c r="E252" i="13" l="1"/>
  <c r="G252" i="13"/>
  <c r="F252" i="13"/>
  <c r="D253" i="13" l="1"/>
  <c r="E253" i="13" l="1"/>
  <c r="G253" i="13" s="1"/>
  <c r="F253" i="13"/>
  <c r="D254" i="13" l="1"/>
  <c r="F254" i="13"/>
  <c r="D255" i="13" l="1"/>
  <c r="E254" i="13"/>
  <c r="G254" i="13" s="1"/>
  <c r="E255" i="13" l="1"/>
  <c r="G255" i="13"/>
  <c r="F255" i="13"/>
  <c r="D256" i="13" l="1"/>
  <c r="E256" i="13" l="1"/>
  <c r="G256" i="13" s="1"/>
  <c r="F256" i="13"/>
  <c r="D257" i="13" l="1"/>
  <c r="F257" i="13"/>
  <c r="D258" i="13" l="1"/>
  <c r="F258" i="13"/>
  <c r="E257" i="13"/>
  <c r="G257" i="13" s="1"/>
  <c r="D259" i="13" l="1"/>
  <c r="F259" i="13"/>
  <c r="E258" i="13"/>
  <c r="G258" i="13" s="1"/>
  <c r="D260" i="13" l="1"/>
  <c r="F260" i="13"/>
  <c r="E259" i="13"/>
  <c r="G259" i="13" s="1"/>
  <c r="D261" i="13" l="1"/>
  <c r="E260" i="13"/>
  <c r="G260" i="13"/>
  <c r="E261" i="13" l="1"/>
  <c r="G261" i="13"/>
  <c r="F261" i="13"/>
  <c r="D262" i="13" l="1"/>
  <c r="E262" i="13" l="1"/>
  <c r="G262" i="13" s="1"/>
  <c r="F262" i="13"/>
  <c r="D263" i="13" l="1"/>
  <c r="F263" i="13" s="1"/>
  <c r="D264" i="13" l="1"/>
  <c r="F264" i="13" s="1"/>
  <c r="E263" i="13"/>
  <c r="G263" i="13" s="1"/>
  <c r="D265" i="13" l="1"/>
  <c r="E264" i="13"/>
  <c r="G264" i="13"/>
  <c r="E265" i="13" l="1"/>
  <c r="G265" i="13" s="1"/>
  <c r="F265" i="13"/>
  <c r="D266" i="13" l="1"/>
  <c r="F266" i="13"/>
  <c r="D267" i="13" l="1"/>
  <c r="F267" i="13"/>
  <c r="E266" i="13"/>
  <c r="G266" i="13" s="1"/>
  <c r="D268" i="13" l="1"/>
  <c r="F268" i="13" s="1"/>
  <c r="E267" i="13"/>
  <c r="G267" i="13" s="1"/>
  <c r="D269" i="13" l="1"/>
  <c r="E268" i="13"/>
  <c r="G268" i="13"/>
  <c r="E269" i="13" l="1"/>
  <c r="G269" i="13" s="1"/>
  <c r="F269" i="13"/>
  <c r="D270" i="13" l="1"/>
  <c r="E270" i="13" l="1"/>
  <c r="G270" i="13" s="1"/>
  <c r="F270" i="13"/>
  <c r="D271" i="13" l="1"/>
  <c r="E271" i="13" l="1"/>
  <c r="G271" i="13" s="1"/>
  <c r="F271" i="13"/>
  <c r="D272" i="13" l="1"/>
  <c r="F272" i="13"/>
  <c r="D273" i="13" l="1"/>
  <c r="E272" i="13"/>
  <c r="G272" i="13" s="1"/>
  <c r="E273" i="13" l="1"/>
  <c r="G273" i="13"/>
  <c r="F273" i="13"/>
  <c r="D274" i="13" l="1"/>
  <c r="E274" i="13" l="1"/>
  <c r="G274" i="13" s="1"/>
  <c r="F274" i="13"/>
  <c r="D275" i="13" l="1"/>
  <c r="F275" i="13"/>
  <c r="D276" i="13" l="1"/>
  <c r="F276" i="13"/>
  <c r="E275" i="13"/>
  <c r="G275" i="13" s="1"/>
  <c r="D277" i="13" l="1"/>
  <c r="F277" i="13"/>
  <c r="E276" i="13"/>
  <c r="G276" i="13" s="1"/>
  <c r="D278" i="13" l="1"/>
  <c r="E277" i="13"/>
  <c r="G277" i="13"/>
  <c r="E278" i="13" l="1"/>
  <c r="G278" i="13"/>
  <c r="F278" i="13"/>
  <c r="D279" i="13" l="1"/>
  <c r="E279" i="13" l="1"/>
  <c r="G279" i="13" s="1"/>
  <c r="F279" i="13"/>
  <c r="D280" i="13" l="1"/>
  <c r="F280" i="13" s="1"/>
  <c r="D281" i="13" l="1"/>
  <c r="E280" i="13"/>
  <c r="G280" i="13" s="1"/>
  <c r="E281" i="13" l="1"/>
  <c r="E283" i="13" s="1"/>
  <c r="J39" i="13" s="1"/>
  <c r="C39" i="13" s="1"/>
  <c r="D283" i="13"/>
  <c r="I39" i="13" s="1"/>
  <c r="B39" i="13" s="1"/>
  <c r="F281" i="13"/>
  <c r="G281" i="13" l="1"/>
  <c r="G283" i="13" s="1"/>
  <c r="C6" i="10"/>
  <c r="C80" i="10" s="1"/>
  <c r="C19" i="12" l="1"/>
  <c r="C135" i="10"/>
  <c r="B19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19" authorId="0" shapeId="0" xr:uid="{EDE2F28E-40DD-4105-8EF4-E66DF094788F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jeżeli nie ma nic w bilansie wpisz przyszłą roczną spłatę kapitału (rok1) pomniejszająć o tę wartość wartość z komórki c107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<sst xmlns="http://schemas.openxmlformats.org/spreadsheetml/2006/main" count="788" uniqueCount="484">
  <si>
    <t>ZAŁOŻENIA</t>
  </si>
  <si>
    <t>Przychody ze sprzedaży produktów i usług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</si>
  <si>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</si>
  <si>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</si>
  <si>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</si>
  <si>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</si>
  <si>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</si>
  <si>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</si>
  <si>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</si>
  <si>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</si>
  <si>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</si>
  <si>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</si>
  <si>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</si>
  <si>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</si>
  <si>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</si>
  <si>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</si>
  <si>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</si>
  <si>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</si>
  <si>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</si>
  <si>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</si>
  <si>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</si>
  <si>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</si>
  <si>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</si>
  <si>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</si>
  <si>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</si>
  <si>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</si>
  <si>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</si>
  <si>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</si>
  <si>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</si>
  <si>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</si>
  <si>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</si>
  <si>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</si>
  <si>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</si>
  <si>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</si>
  <si>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</si>
  <si>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</si>
  <si>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</si>
  <si>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</si>
  <si>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</si>
  <si>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</si>
  <si>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BILANS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</si>
  <si>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</si>
  <si>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</si>
  <si>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</si>
  <si>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</si>
  <si>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</si>
  <si>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</si>
  <si>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</si>
  <si>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</si>
  <si>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</si>
  <si>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</si>
  <si>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</si>
  <si>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</si>
  <si>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</si>
  <si>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</si>
  <si>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</si>
  <si>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</si>
  <si>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</si>
  <si>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</si>
  <si>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</si>
  <si>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</si>
  <si>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</si>
  <si>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</si>
  <si>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</si>
  <si>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</si>
  <si>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</si>
  <si>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</si>
  <si>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</si>
  <si>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</si>
  <si>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</si>
  <si>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</si>
  <si>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</si>
  <si>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</si>
  <si>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</si>
  <si>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</si>
  <si>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</si>
  <si>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</si>
  <si>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</si>
  <si>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</si>
  <si>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</si>
  <si>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</si>
  <si>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</si>
  <si>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</si>
  <si>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</si>
  <si>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</si>
  <si>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</si>
  <si>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</si>
  <si>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 xml:space="preserve">         spłata raty kapitałowych z pożyczki JEREMIE (-)</t>
  </si>
  <si>
    <t xml:space="preserve">         spłata rat kapitałowych z  innych pożyczek lub kredytów i leasingu finansowego  (-)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</si>
  <si>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</si>
  <si>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</si>
  <si>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</si>
  <si>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</si>
  <si>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</si>
  <si>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</si>
  <si>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</si>
  <si>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</si>
  <si>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</si>
  <si>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</si>
  <si>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</si>
  <si>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</si>
  <si>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</si>
  <si>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</si>
  <si>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</si>
  <si>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</si>
  <si>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</si>
  <si>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</si>
  <si>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</si>
  <si>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</si>
  <si>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</si>
  <si>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</si>
  <si>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</si>
  <si>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</si>
  <si>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</si>
  <si>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</si>
  <si>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</si>
  <si>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</si>
  <si>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</si>
  <si>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</si>
  <si>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</si>
  <si>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</si>
  <si>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</si>
  <si>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</si>
  <si>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</si>
  <si>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</si>
  <si>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</si>
  <si>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</si>
  <si>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</si>
  <si>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</si>
  <si>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</si>
  <si>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</si>
  <si>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</si>
  <si>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</si>
  <si>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</si>
  <si>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</si>
  <si>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</si>
  <si>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</si>
  <si>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</si>
  <si>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</si>
  <si>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</si>
  <si>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</si>
  <si>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</si>
  <si>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</si>
  <si>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</si>
  <si>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</si>
  <si>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</si>
  <si>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</si>
  <si>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</si>
  <si>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</si>
  <si>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</si>
  <si>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</si>
  <si>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</si>
  <si>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</si>
  <si>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</si>
  <si>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</si>
  <si>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</si>
  <si>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</si>
  <si>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</si>
  <si>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</si>
  <si>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</si>
  <si>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</si>
  <si>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</si>
  <si>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</si>
  <si>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</si>
  <si>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</si>
  <si>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</si>
  <si>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</si>
  <si>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</si>
  <si>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</si>
  <si>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</si>
  <si>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</si>
  <si>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</si>
  <si>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</si>
  <si>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</si>
  <si>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</si>
  <si>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</si>
  <si>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</si>
  <si>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</si>
  <si>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</si>
  <si>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</si>
  <si>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</si>
  <si>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</si>
  <si>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</si>
  <si>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</si>
  <si>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</si>
  <si>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</si>
  <si>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</si>
  <si>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</si>
  <si>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</si>
  <si>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</si>
  <si>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</si>
  <si>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</si>
  <si>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</si>
  <si>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</si>
  <si>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</si>
  <si>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</si>
  <si>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</si>
  <si>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</si>
  <si>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</si>
  <si>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</si>
  <si>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</si>
  <si>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</si>
  <si>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</si>
  <si>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</si>
  <si>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</si>
  <si>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</si>
  <si>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</si>
  <si>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</si>
  <si>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</si>
  <si>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</si>
  <si>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</si>
  <si>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</si>
  <si>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</si>
  <si>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</si>
  <si>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</si>
  <si>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</si>
  <si>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</si>
  <si>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</si>
  <si>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</si>
  <si>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</si>
  <si>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</si>
  <si>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</si>
  <si>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</si>
  <si>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</si>
  <si>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</si>
  <si>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</si>
  <si>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</si>
  <si>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</si>
  <si>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</si>
  <si>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</si>
  <si>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</si>
  <si>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</si>
  <si>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</si>
  <si>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</si>
  <si>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</si>
  <si>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</si>
  <si>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</si>
  <si>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</si>
  <si>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</si>
  <si>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</si>
  <si>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</si>
  <si>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</si>
  <si>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</si>
  <si>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</si>
  <si>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</si>
  <si>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</si>
  <si>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</si>
  <si>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</si>
  <si>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</si>
  <si>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</si>
  <si>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</si>
  <si>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</si>
  <si>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</si>
  <si>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</si>
  <si>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</si>
  <si>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</si>
  <si>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</si>
  <si>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</si>
  <si>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</si>
  <si>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</si>
  <si>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</si>
  <si>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</si>
  <si>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</si>
  <si>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</si>
  <si>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</si>
  <si>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</si>
  <si>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</si>
  <si>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</si>
  <si>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</si>
  <si>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</si>
  <si>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</si>
  <si>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</si>
  <si>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</si>
  <si>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</si>
  <si>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</si>
  <si>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</si>
  <si>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</si>
  <si>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</si>
  <si>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</si>
  <si>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</si>
  <si>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</si>
  <si>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</si>
  <si>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</si>
  <si>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</si>
  <si>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</si>
  <si>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</si>
  <si>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</si>
  <si>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stopa ubezpieczeń społecznych</t>
  </si>
  <si>
    <t>Zużycie materiałów i energii     (rocznie)</t>
  </si>
  <si>
    <t>Usługi obce   (rocznie)</t>
  </si>
  <si>
    <t>Podatki i opłaty    (rocznie)</t>
  </si>
  <si>
    <t>Wartości niematerialne i prawne</t>
  </si>
  <si>
    <t>ZOBOWIĄZANIA I REZERWY</t>
  </si>
  <si>
    <t>KAPITAŁ WŁASNY</t>
  </si>
  <si>
    <t>Emisja kapitałów własnych+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</si>
  <si>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</si>
  <si>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</si>
  <si>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</si>
  <si>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</si>
  <si>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</si>
  <si>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</si>
  <si>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</si>
  <si>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</si>
  <si>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</si>
  <si>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</si>
  <si>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</si>
  <si>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</si>
  <si>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</si>
  <si>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</si>
  <si>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</si>
  <si>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 xml:space="preserve">                inne pożyczki,kredyty  i leasing finansowy </t>
  </si>
  <si>
    <t>z tytułu dostaw i usług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</si>
  <si>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</si>
  <si>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</si>
  <si>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</si>
  <si>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</si>
  <si>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</si>
  <si>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</si>
  <si>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</si>
  <si>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</si>
  <si>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</si>
  <si>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</si>
  <si>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</si>
  <si>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</si>
  <si>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</si>
  <si>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</si>
  <si>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</si>
  <si>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</si>
  <si>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</si>
  <si>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</si>
  <si>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</si>
  <si>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</si>
  <si>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</si>
  <si>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</si>
  <si>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Wypłaty dywidend                                                                     (-)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</si>
  <si>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</si>
  <si>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</si>
  <si>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</si>
  <si>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</si>
  <si>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</si>
  <si>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</si>
  <si>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</si>
  <si>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</si>
  <si>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</si>
  <si>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</si>
  <si>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</si>
  <si>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</si>
  <si>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</si>
  <si>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</si>
  <si>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</si>
  <si>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</si>
  <si>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Kapitał podstawowy</t>
  </si>
  <si>
    <t>wpisać planowany przychód roczny</t>
  </si>
  <si>
    <t xml:space="preserve">  - wszystkie inne pożyczki lub kredyty i leasing finansowy </t>
  </si>
  <si>
    <t>PLANOWANY przychód ze sprzedaży środka trwałego                                      (np. nieruchomości)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</si>
  <si>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</si>
  <si>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</si>
  <si>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</si>
  <si>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</si>
  <si>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</si>
  <si>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</si>
  <si>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 xml:space="preserve">wpisać jeżeli jest planowana sprzedaż  na początku w celu zwiększenia środków własnych </t>
  </si>
  <si>
    <t>inne przychody i koszty operacyjne,inne koszty finansowe, przychody finansowe, inne zobowiązania, rezerwy, rozliczenia międzyokresowe i fundusze</t>
  </si>
  <si>
    <t xml:space="preserve"> specjalne są w każdym roku na stałym poziomie</t>
  </si>
  <si>
    <t>za ostatni kwartał</t>
  </si>
  <si>
    <t>wpisać w roku 0</t>
  </si>
  <si>
    <t>0/-1</t>
  </si>
  <si>
    <t>teraz</t>
  </si>
  <si>
    <t>teraz/0</t>
  </si>
  <si>
    <t>Produkty dotychczasowe - przychód</t>
  </si>
  <si>
    <t>Towary dotychczasowe - przychód</t>
  </si>
  <si>
    <t xml:space="preserve">    średnia cena jednostkowa</t>
  </si>
  <si>
    <t>koszty zakupu Towaru 2  (NOWEGO)</t>
  </si>
  <si>
    <t>wpisać planowaną sprzedaż roczną towaru nowego jeżeli będzie występowała</t>
  </si>
  <si>
    <t xml:space="preserve">wpisać planowaną średnią cenę za towar </t>
  </si>
  <si>
    <t>wpisać planowany roczny koszt zakupu  towarów dotychczasowych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</si>
  <si>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</si>
  <si>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</si>
  <si>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</si>
  <si>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</si>
  <si>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>wpisać  planowane roczne  wartości</t>
  </si>
  <si>
    <t xml:space="preserve">  -  pożyczka JEREMIE 2</t>
  </si>
  <si>
    <t xml:space="preserve">                pożyczka JEREMIE 2</t>
  </si>
  <si>
    <t xml:space="preserve">                pożyczki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</si>
  <si>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</si>
  <si>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</si>
  <si>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>Środki transportu i inne</t>
  </si>
  <si>
    <t>Aktywa trwałe i wyposażenie planowane do nabycia</t>
  </si>
  <si>
    <t>Wyposażenie zbiorczo</t>
  </si>
  <si>
    <t>spłaty rat leasingu operacyjnego bez VAT</t>
  </si>
  <si>
    <t>wpisać planowany przychód roczny jeżeli wystąpi</t>
  </si>
  <si>
    <t xml:space="preserve">wpisać </t>
  </si>
  <si>
    <t>…………………………………………..</t>
  </si>
  <si>
    <t>Podpis wnioskodawcy</t>
  </si>
  <si>
    <t>PLAN SPRZEDAŻY I KOSZTÓW ZAKUPÓW TOWARÓW HANDLOWYCH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</si>
  <si>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</si>
  <si>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t>koszty zakupu  Towarów dotychczasowych</t>
  </si>
  <si>
    <t>możliwość dokapitalizowania -(wynagrodzenia lub inne dochody   głównych właścicieli )                     (+)</t>
  </si>
  <si>
    <t>wpisać nazwę,  stawkę amortyzacji rocznej i wartość nabywanego środka jeżeli dotyczy</t>
  </si>
  <si>
    <t>wpisać nazwę, i wartość nabywanego środka jeżeli dotyczy</t>
  </si>
  <si>
    <t>=</t>
  </si>
  <si>
    <t>WARTOŚĆ EKONOMICZNO FINANSOWA ( maksymalnie 9 pkt)</t>
  </si>
  <si>
    <t xml:space="preserve">NIEZBĘDNY WKŁAD WŁASNY W 1 ROKU </t>
  </si>
  <si>
    <t>PLAN KOSZTÓW EKSPLOATACYJNYCH</t>
  </si>
  <si>
    <t>ilość zatrudnionych</t>
  </si>
  <si>
    <t>łączne wynagrodzenia</t>
  </si>
  <si>
    <t>WAGA KAŻDEGO WSKAŹNIKA</t>
  </si>
  <si>
    <t>WAGI ZAKRESÓW WSKAŹNIKÓW</t>
  </si>
  <si>
    <t>ROK</t>
  </si>
  <si>
    <t>wpisz rok w którym rozpocznie się udzielanie pożyczki</t>
  </si>
  <si>
    <t/>
  </si>
  <si>
    <t xml:space="preserve"> zużycie materiałów</t>
  </si>
  <si>
    <t xml:space="preserve"> benzyna </t>
  </si>
  <si>
    <t xml:space="preserve">usługi informatyczne </t>
  </si>
  <si>
    <t xml:space="preserve"> raty leasingu operacyjnego </t>
  </si>
  <si>
    <t xml:space="preserve"> podatek od nieruchomosci/wieczyste użytkowanie </t>
  </si>
  <si>
    <t>bezpieczenia majątkowe i osobowe</t>
  </si>
  <si>
    <t>czynsz, opłata za wodę,  śmieci, części stałe itp..</t>
  </si>
  <si>
    <t xml:space="preserve"> remonty </t>
  </si>
  <si>
    <t xml:space="preserve"> usługi księgowe rachunkowe, konsultingowe, prawne itp..</t>
  </si>
  <si>
    <t xml:space="preserve">sprzątanie, ochrona, serwis, telekomunikacyjne </t>
  </si>
  <si>
    <t>wszystkie pozostałe</t>
  </si>
  <si>
    <t xml:space="preserve">reklama i promocja </t>
  </si>
  <si>
    <t xml:space="preserve"> podatek od środków transportu, opłaty środowiskowe itp.</t>
  </si>
  <si>
    <t>opłaty skarbowe i notarialne i inne opłaty i podatki</t>
  </si>
  <si>
    <t xml:space="preserve"> koszty podrózy służbowych  i inne</t>
  </si>
  <si>
    <t xml:space="preserve"> ciepło , prąd, gaz, inne</t>
  </si>
  <si>
    <t>Wynagrodzenia    (rocznie)</t>
  </si>
  <si>
    <t>Ubezpieczenia społeczne i inne świadczenia (rocznie) RAZEM</t>
  </si>
  <si>
    <t>Pozostałe koszty rodzajowe (rocznie)    RAZEM</t>
  </si>
  <si>
    <t xml:space="preserve">ZAŁĄCZNIK nr 1 </t>
  </si>
  <si>
    <t xml:space="preserve"> DO WNIOSKU O UDZIELENIE WSPARCIA Z INSTRUMENTÓW FINANSOWYCH</t>
  </si>
  <si>
    <r>
      <t xml:space="preserve">(DLA PODATNIKÓW NA PEŁNEJ KSIĘGOWOŚCI - </t>
    </r>
    <r>
      <rPr>
        <b/>
        <sz val="12"/>
        <color rgb="FFFF0000"/>
        <rFont val="Calibri"/>
        <family val="2"/>
        <charset val="238"/>
      </rPr>
      <t>wariant porównawczy</t>
    </r>
    <r>
      <rPr>
        <b/>
        <sz val="12"/>
        <color theme="1"/>
        <rFont val="Calibri"/>
        <family val="2"/>
        <charset val="238"/>
      </rPr>
      <t>)</t>
    </r>
  </si>
  <si>
    <t xml:space="preserve">PLAN SPRZEDAŻY </t>
  </si>
  <si>
    <t>rok 2</t>
  </si>
  <si>
    <t>PRZYCHODY ZE SPRZEDAŻY PRODUKTÓW I USŁUG RAZEM</t>
  </si>
  <si>
    <t>PRZYCHODY ZE SPRZEDAŻY TOWARÓW i MATERIAŁÓW RAZEM</t>
  </si>
  <si>
    <r>
      <t xml:space="preserve">PLAN Towary i materiały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</si>
  <si>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KOSZTÓW ZAKUPU TOWARÓW</t>
    </r>
    <r>
      <rPr>
        <b/>
        <sz val="14"/>
        <color rgb="FF000000"/>
        <rFont val="Calibri"/>
        <family val="2"/>
        <charset val="238"/>
      </rPr>
      <t xml:space="preserve"> I MATERIAŁÓW  </t>
    </r>
  </si>
  <si>
    <t>WARTOŚĆ SPRZEDANYCH TOWARÓW I MATERIAŁÓW W CENACH ZAKUPU RAZEM</t>
  </si>
  <si>
    <r>
      <t>PLAN Wartość sprzedanych towarów</t>
    </r>
    <r>
      <rPr>
        <b/>
        <sz val="11"/>
        <color rgb="FF000000"/>
        <rFont val="Calibri"/>
        <family val="2"/>
        <charset val="238"/>
      </rPr>
      <t xml:space="preserve"> DOTYCHCZASOWYCH</t>
    </r>
    <r>
      <rPr>
        <sz val="11"/>
        <color rgb="FF000000"/>
        <rFont val="Calibri"/>
        <family val="2"/>
        <charset val="238"/>
      </rPr>
      <t xml:space="preserve"> i materiałów w cenach zakupu </t>
    </r>
  </si>
  <si>
    <r>
      <t>PLAN Wartość sprzedanych towarów i materiałów</t>
    </r>
    <r>
      <rPr>
        <b/>
        <sz val="11"/>
        <color rgb="FF000000"/>
        <rFont val="Calibri"/>
        <family val="2"/>
        <charset val="238"/>
      </rPr>
      <t xml:space="preserve"> NOWYCH</t>
    </r>
    <r>
      <rPr>
        <sz val="11"/>
        <color rgb="FF000000"/>
        <rFont val="Calibri"/>
        <family val="2"/>
        <charset val="238"/>
      </rPr>
      <t xml:space="preserve"> w cenach zakupu </t>
    </r>
  </si>
  <si>
    <r>
      <t>POZYCJE KOSZTÓW</t>
    </r>
    <r>
      <rPr>
        <b/>
        <sz val="14"/>
        <color rgb="FF000000"/>
        <rFont val="Calibri"/>
        <family val="2"/>
        <charset val="238"/>
      </rPr>
      <t xml:space="preserve"> OPERACYJNYCH</t>
    </r>
  </si>
  <si>
    <t>ZUŻYCIE MATERIAŁÓW I ENERGII (ROCZNIE) RAZEM</t>
  </si>
  <si>
    <t xml:space="preserve">zużycie materiałów </t>
  </si>
  <si>
    <t xml:space="preserve">koszty paliwa  </t>
  </si>
  <si>
    <t>ciepło, prąd, gaz  itp.</t>
  </si>
  <si>
    <t>USŁUGI OBCE (ROCZNIE) RAZEM</t>
  </si>
  <si>
    <t xml:space="preserve">czynsz, opłaty za wodę, śmieci, części stałe itp. </t>
  </si>
  <si>
    <t xml:space="preserve">remonty  </t>
  </si>
  <si>
    <t xml:space="preserve">usługi księgowe rachunkowe, konsultingowe, prawne, itp. </t>
  </si>
  <si>
    <t xml:space="preserve">raty leasingu operacyjnego </t>
  </si>
  <si>
    <t xml:space="preserve">sprzątanie, ochrona, serwis, telekomunikacyjne   </t>
  </si>
  <si>
    <t xml:space="preserve">wszystkie pozostałe </t>
  </si>
  <si>
    <t>PODATKI I OPŁATY (ROCZNIE) RAZEM</t>
  </si>
  <si>
    <t>podatek od nieruchomości /wieczyste użytkowanie</t>
  </si>
  <si>
    <t xml:space="preserve">podatek od środków transportu, opłaty środowiskowe, itp. </t>
  </si>
  <si>
    <t>WYNAGRODZENIA (ROCZNIE) RAZEM</t>
  </si>
  <si>
    <t>UBEZPIECZENIA SPOŁECZNE I INNE ŚWIADCZENIA (ROCZNIE) RAZEM</t>
  </si>
  <si>
    <t>POZOSTAŁE KOSZTY RODZAJOWE (ROCZNIE) RAZEM</t>
  </si>
  <si>
    <t xml:space="preserve">ubezpieczenia majątkowe i osobowe </t>
  </si>
  <si>
    <t>koszty podróży służbowych i inne</t>
  </si>
  <si>
    <t>(proszę załączyć wydruk z ewidencji środków trwałych oraz harmonogramy spłat leasingów, pożyczek i kredytów)</t>
  </si>
  <si>
    <t>AKTYWA TRWAŁE DOTYCHCZASOWE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</si>
  <si>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</t>
    </r>
  </si>
  <si>
    <r>
      <t> </t>
    </r>
    <r>
      <rPr>
        <b/>
        <sz val="14"/>
        <color rgb="FF000000"/>
        <rFont val="Calibri"/>
        <family val="2"/>
        <charset val="238"/>
      </rPr>
      <t xml:space="preserve">RAZEM </t>
    </r>
  </si>
  <si>
    <t xml:space="preserve">AMORTYZACJA </t>
  </si>
  <si>
    <t>PLAN ODSETEK Z DOTYCHCZASOWYCH KREDYTÓW, POŻYCZEK I LEASINGÓW FINANSOWYCH</t>
  </si>
  <si>
    <t>odsetki bez uwzględnienia wnioskowanej pożyczki</t>
  </si>
  <si>
    <r>
      <t xml:space="preserve">PLAN Produkty lub/i usługi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</si>
  <si>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Produkty lub/ i usługi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</si>
  <si>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Towary i materiały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</si>
  <si>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t xml:space="preserve">             </t>
  </si>
  <si>
    <t>wpływ innego kredytu/pożyczki w 1 roku (+)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</si>
  <si>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</si>
  <si>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tylko jeżeli będzie to nowa działalność</t>
  </si>
  <si>
    <t>wpisz rok</t>
  </si>
  <si>
    <r>
      <t xml:space="preserve">Za </t>
    </r>
    <r>
      <rPr>
        <b/>
        <i/>
        <sz val="11"/>
        <color rgb="FFFF0000"/>
        <rFont val="Calibri"/>
        <family val="2"/>
        <charset val="238"/>
      </rPr>
      <t>rok 0</t>
    </r>
    <r>
      <rPr>
        <i/>
        <sz val="11"/>
        <color rgb="FFFF0000"/>
        <rFont val="Calibri"/>
        <family val="2"/>
        <charset val="238"/>
      </rPr>
      <t xml:space="preserve"> </t>
    </r>
    <r>
      <rPr>
        <i/>
        <sz val="11"/>
        <color theme="1"/>
        <rFont val="Calibri"/>
        <family val="2"/>
        <charset val="238"/>
      </rPr>
      <t>(</t>
    </r>
    <r>
      <rPr>
        <b/>
        <i/>
        <sz val="11"/>
        <color rgb="FFFF0000"/>
        <rFont val="Calibri"/>
        <family val="2"/>
        <charset val="238"/>
      </rPr>
      <t>ostatni pełny rok obrachunkowy  lub dane wstępne)</t>
    </r>
    <r>
      <rPr>
        <i/>
        <sz val="11"/>
        <color theme="1"/>
        <rFont val="Calibri"/>
        <family val="2"/>
        <charset val="238"/>
      </rPr>
      <t xml:space="preserve"> wpisać dane z Rachunku Zysku i Strat. Za następne lata planowane wartości</t>
    </r>
  </si>
  <si>
    <t>WPISZ 0  DLA ROKU OBECNEGO ALBO  1 DLA ROKU</t>
  </si>
  <si>
    <t>wpisać jeżeli jest przychód ze sprzedaży towarów i materiałów</t>
  </si>
  <si>
    <t>wpisać jeżeli jest przychód ze sprzedaży towarów i materiałów z nowej działalności</t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</si>
  <si>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</t>
    </r>
  </si>
  <si>
    <r>
      <t>2.</t>
    </r>
    <r>
      <rPr>
        <sz val="14"/>
        <color theme="1"/>
        <rFont val="Times New Roman"/>
        <family val="1"/>
        <charset val="238"/>
      </rPr>
      <t xml:space="preserve"> 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eksploatacyjnych całej firmy </t>
    </r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</si>
  <si>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</t>
    </r>
    <r>
      <rPr>
        <b/>
        <sz val="14"/>
        <color rgb="FFFF0000"/>
        <rFont val="Calibri"/>
        <family val="2"/>
        <charset val="238"/>
        <scheme val="minor"/>
      </rPr>
      <t>z bilansu</t>
    </r>
    <r>
      <rPr>
        <b/>
        <sz val="14"/>
        <color theme="1"/>
        <rFont val="Calibri"/>
        <family val="2"/>
        <charset val="238"/>
        <scheme val="minor"/>
      </rPr>
      <t xml:space="preserve">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</si>
</sst>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</numFmts>
  <fonts count="9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0"/>
      <color theme="2" tint="-0.249977111117893"/>
      <name val="Calibri"/>
      <family val="2"/>
      <charset val="238"/>
      <scheme val="minor"/>
    </font>
    <font>
      <i/>
      <sz val="10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mbria"/>
      <family val="1"/>
      <charset val="238"/>
    </font>
    <font>
      <sz val="11"/>
      <color theme="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Cambria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2"/>
      <color rgb="FFFF0000"/>
      <name val="Tahoma"/>
      <family val="2"/>
      <charset val="238"/>
    </font>
    <font>
      <b/>
      <i/>
      <sz val="10"/>
      <color rgb="FFFF000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718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9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4" xfId="5" applyNumberFormat="1" applyFont="1" applyFill="1" applyBorder="1" applyAlignment="1" applyProtection="1">
      <alignment horizontal="right" vertical="center"/>
      <protection hidden="1"/>
    </xf>
    <xf numFmtId="167" fontId="11" fillId="10" borderId="15" xfId="5" applyNumberFormat="1" applyFont="1" applyFill="1" applyBorder="1" applyAlignment="1" applyProtection="1">
      <alignment horizontal="right" vertical="center"/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hidden="1"/>
    </xf>
    <xf numFmtId="167" fontId="11" fillId="8" borderId="15" xfId="5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23" xfId="0" applyNumberFormat="1" applyFont="1" applyFill="1" applyBorder="1" applyAlignment="1" applyProtection="1">
      <alignment horizontal="centerContinuous"/>
      <protection hidden="1"/>
    </xf>
    <xf numFmtId="3" fontId="17" fillId="13" borderId="31" xfId="5" applyNumberFormat="1" applyFont="1" applyFill="1" applyBorder="1" applyProtection="1">
      <protection hidden="1"/>
    </xf>
    <xf numFmtId="3" fontId="17" fillId="8" borderId="31" xfId="5" applyNumberFormat="1" applyFont="1" applyFill="1" applyBorder="1" applyProtection="1">
      <protection hidden="1"/>
    </xf>
    <xf numFmtId="3" fontId="16" fillId="13" borderId="27" xfId="5" applyNumberFormat="1" applyFont="1" applyFill="1" applyBorder="1" applyProtection="1">
      <protection hidden="1"/>
    </xf>
    <xf numFmtId="3" fontId="16" fillId="11" borderId="23" xfId="5" applyNumberFormat="1" applyFont="1" applyFill="1" applyBorder="1" applyProtection="1">
      <protection hidden="1"/>
    </xf>
    <xf numFmtId="3" fontId="16" fillId="11" borderId="27" xfId="5" applyNumberFormat="1" applyFont="1" applyFill="1" applyBorder="1" applyProtection="1">
      <protection hidden="1"/>
    </xf>
    <xf numFmtId="3" fontId="16" fillId="17" borderId="33" xfId="5" applyNumberFormat="1" applyFont="1" applyFill="1" applyBorder="1" applyProtection="1">
      <protection hidden="1"/>
    </xf>
    <xf numFmtId="3" fontId="16" fillId="13" borderId="33" xfId="5" applyNumberFormat="1" applyFont="1" applyFill="1" applyBorder="1" applyProtection="1">
      <protection hidden="1"/>
    </xf>
    <xf numFmtId="2" fontId="11" fillId="18" borderId="0" xfId="0" applyNumberFormat="1" applyFont="1" applyFill="1" applyProtection="1">
      <protection hidden="1"/>
    </xf>
    <xf numFmtId="2" fontId="11" fillId="18" borderId="35" xfId="0" applyNumberFormat="1" applyFont="1" applyFill="1" applyBorder="1" applyProtection="1">
      <protection hidden="1"/>
    </xf>
    <xf numFmtId="2" fontId="11" fillId="18" borderId="36" xfId="0" applyNumberFormat="1" applyFont="1" applyFill="1" applyBorder="1" applyProtection="1">
      <protection hidden="1"/>
    </xf>
    <xf numFmtId="2" fontId="11" fillId="18" borderId="37" xfId="0" applyNumberFormat="1" applyFont="1" applyFill="1" applyBorder="1" applyProtection="1">
      <protection hidden="1"/>
    </xf>
    <xf numFmtId="2" fontId="11" fillId="18" borderId="38" xfId="0" applyNumberFormat="1" applyFont="1" applyFill="1" applyBorder="1" applyProtection="1">
      <protection hidden="1"/>
    </xf>
    <xf numFmtId="2" fontId="11" fillId="18" borderId="39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3" fontId="17" fillId="8" borderId="32" xfId="5" applyNumberFormat="1" applyFont="1" applyFill="1" applyBorder="1" applyProtection="1">
      <protection hidden="1"/>
    </xf>
    <xf numFmtId="2" fontId="11" fillId="18" borderId="34" xfId="0" applyNumberFormat="1" applyFont="1" applyFill="1" applyBorder="1" applyProtection="1">
      <protection hidden="1"/>
    </xf>
    <xf numFmtId="2" fontId="11" fillId="18" borderId="44" xfId="0" applyNumberFormat="1" applyFont="1" applyFill="1" applyBorder="1" applyProtection="1">
      <protection hidden="1"/>
    </xf>
    <xf numFmtId="2" fontId="11" fillId="18" borderId="45" xfId="0" applyNumberFormat="1" applyFont="1" applyFill="1" applyBorder="1" applyProtection="1">
      <protection hidden="1"/>
    </xf>
    <xf numFmtId="2" fontId="11" fillId="8" borderId="47" xfId="0" applyNumberFormat="1" applyFont="1" applyFill="1" applyBorder="1" applyProtection="1">
      <protection hidden="1"/>
    </xf>
    <xf numFmtId="2" fontId="11" fillId="8" borderId="50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3" borderId="23" xfId="5" applyNumberFormat="1" applyFont="1" applyFill="1" applyBorder="1" applyProtection="1">
      <protection hidden="1"/>
    </xf>
    <xf numFmtId="3" fontId="16" fillId="23" borderId="27" xfId="5" applyNumberFormat="1" applyFont="1" applyFill="1" applyBorder="1" applyProtection="1"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16" fillId="8" borderId="9" xfId="5" applyNumberFormat="1" applyFont="1" applyFill="1" applyBorder="1" applyAlignment="1" applyProtection="1">
      <alignment horizontal="center" vertical="center" wrapText="1"/>
      <protection hidden="1"/>
    </xf>
    <xf numFmtId="3" fontId="11" fillId="21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locked="0"/>
    </xf>
    <xf numFmtId="3" fontId="17" fillId="23" borderId="31" xfId="5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47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0" fillId="0" borderId="23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4" fontId="27" fillId="8" borderId="0" xfId="0" applyNumberFormat="1" applyFont="1" applyFill="1" applyProtection="1">
      <protection hidden="1"/>
    </xf>
    <xf numFmtId="2" fontId="0" fillId="8" borderId="0" xfId="0" applyNumberFormat="1" applyFill="1" applyProtection="1"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0" borderId="57" xfId="0" applyFont="1" applyFill="1" applyBorder="1" applyAlignment="1" applyProtection="1">
      <alignment horizontal="left" vertical="center" wrapText="1" indent="1"/>
      <protection hidden="1"/>
    </xf>
    <xf numFmtId="0" fontId="33" fillId="30" borderId="58" xfId="0" applyFont="1" applyFill="1" applyBorder="1" applyAlignment="1" applyProtection="1">
      <alignment horizontal="left" vertical="center" wrapText="1" indent="1"/>
      <protection hidden="1"/>
    </xf>
    <xf numFmtId="0" fontId="33" fillId="30" borderId="59" xfId="0" applyFont="1" applyFill="1" applyBorder="1" applyAlignment="1" applyProtection="1">
      <alignment horizontal="left" vertical="center" wrapText="1" indent="1"/>
      <protection hidden="1"/>
    </xf>
    <xf numFmtId="0" fontId="33" fillId="30" borderId="60" xfId="0" applyFont="1" applyFill="1" applyBorder="1" applyAlignment="1" applyProtection="1">
      <alignment horizontal="left" vertical="center" wrapText="1" indent="1"/>
      <protection hidden="1"/>
    </xf>
    <xf numFmtId="0" fontId="33" fillId="30" borderId="61" xfId="0" applyFont="1" applyFill="1" applyBorder="1" applyAlignment="1" applyProtection="1">
      <alignment horizontal="left" vertical="center" wrapText="1" indent="1"/>
      <protection hidden="1"/>
    </xf>
    <xf numFmtId="0" fontId="33" fillId="30" borderId="62" xfId="0" applyFont="1" applyFill="1" applyBorder="1" applyAlignment="1" applyProtection="1">
      <alignment horizontal="left" vertical="center" wrapText="1" indent="1"/>
      <protection hidden="1"/>
    </xf>
    <xf numFmtId="0" fontId="17" fillId="31" borderId="63" xfId="0" applyFont="1" applyFill="1" applyBorder="1" applyAlignment="1" applyProtection="1">
      <alignment horizontal="left" vertical="top" wrapText="1" indent="1"/>
      <protection hidden="1"/>
    </xf>
    <xf numFmtId="0" fontId="29" fillId="31" borderId="64" xfId="0" applyFont="1" applyFill="1" applyBorder="1" applyAlignment="1" applyProtection="1">
      <alignment horizontal="left" vertical="top" wrapText="1" indent="1"/>
      <protection hidden="1"/>
    </xf>
    <xf numFmtId="0" fontId="29" fillId="32" borderId="65" xfId="0" applyFont="1" applyFill="1" applyBorder="1" applyAlignment="1" applyProtection="1">
      <alignment horizontal="left" vertical="top" wrapText="1" indent="1"/>
      <protection hidden="1"/>
    </xf>
    <xf numFmtId="0" fontId="29" fillId="31" borderId="66" xfId="0" applyFont="1" applyFill="1" applyBorder="1" applyAlignment="1" applyProtection="1">
      <alignment horizontal="left" vertical="top" wrapText="1" indent="1"/>
      <protection hidden="1"/>
    </xf>
    <xf numFmtId="0" fontId="29" fillId="31" borderId="67" xfId="0" applyFont="1" applyFill="1" applyBorder="1" applyAlignment="1" applyProtection="1">
      <alignment horizontal="left" vertical="top" wrapText="1" indent="1"/>
      <protection hidden="1"/>
    </xf>
    <xf numFmtId="0" fontId="29" fillId="32" borderId="68" xfId="0" applyFont="1" applyFill="1" applyBorder="1" applyAlignment="1" applyProtection="1">
      <alignment horizontal="left" vertical="top" wrapText="1" indent="1"/>
      <protection hidden="1"/>
    </xf>
    <xf numFmtId="0" fontId="29" fillId="31" borderId="69" xfId="0" applyFont="1" applyFill="1" applyBorder="1" applyAlignment="1" applyProtection="1">
      <alignment horizontal="left" vertical="top" wrapText="1" indent="1"/>
      <protection hidden="1"/>
    </xf>
    <xf numFmtId="0" fontId="29" fillId="31" borderId="70" xfId="0" applyFont="1" applyFill="1" applyBorder="1" applyAlignment="1" applyProtection="1">
      <alignment horizontal="left" vertical="top" wrapText="1" indent="1"/>
      <protection hidden="1"/>
    </xf>
    <xf numFmtId="0" fontId="29" fillId="32" borderId="71" xfId="0" applyFont="1" applyFill="1" applyBorder="1" applyAlignment="1" applyProtection="1">
      <alignment horizontal="left" vertical="top" wrapText="1" indent="1"/>
      <protection hidden="1"/>
    </xf>
    <xf numFmtId="0" fontId="29" fillId="31" borderId="63" xfId="0" applyFont="1" applyFill="1" applyBorder="1" applyAlignment="1" applyProtection="1">
      <alignment horizontal="left" vertical="top" wrapText="1" indent="1"/>
      <protection hidden="1"/>
    </xf>
    <xf numFmtId="0" fontId="15" fillId="31" borderId="66" xfId="0" applyFont="1" applyFill="1" applyBorder="1" applyAlignment="1" applyProtection="1">
      <alignment horizontal="left" vertical="top" wrapText="1" indent="1"/>
      <protection hidden="1"/>
    </xf>
    <xf numFmtId="0" fontId="15" fillId="31" borderId="67" xfId="0" applyFont="1" applyFill="1" applyBorder="1" applyAlignment="1" applyProtection="1">
      <alignment horizontal="left" vertical="top" wrapText="1" indent="1"/>
      <protection hidden="1"/>
    </xf>
    <xf numFmtId="0" fontId="15" fillId="32" borderId="68" xfId="0" applyFont="1" applyFill="1" applyBorder="1" applyAlignment="1" applyProtection="1">
      <alignment horizontal="left" vertical="top" wrapText="1" indent="1"/>
      <protection hidden="1"/>
    </xf>
    <xf numFmtId="0" fontId="15" fillId="31" borderId="64" xfId="0" applyFont="1" applyFill="1" applyBorder="1" applyAlignment="1" applyProtection="1">
      <alignment horizontal="left" vertical="top" wrapText="1" indent="1"/>
      <protection hidden="1"/>
    </xf>
    <xf numFmtId="0" fontId="15" fillId="32" borderId="65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1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4" fillId="21" borderId="20" xfId="5" applyNumberFormat="1" applyFont="1" applyFill="1" applyBorder="1" applyAlignment="1" applyProtection="1">
      <alignment horizontal="right" vertical="center"/>
      <protection locked="0"/>
    </xf>
    <xf numFmtId="3" fontId="14" fillId="16" borderId="1" xfId="0" applyNumberFormat="1" applyFont="1" applyFill="1" applyBorder="1" applyProtection="1">
      <protection hidden="1"/>
    </xf>
    <xf numFmtId="3" fontId="17" fillId="16" borderId="1" xfId="0" applyNumberFormat="1" applyFont="1" applyFill="1" applyBorder="1" applyProtection="1">
      <protection hidden="1"/>
    </xf>
    <xf numFmtId="3" fontId="17" fillId="16" borderId="72" xfId="0" applyNumberFormat="1" applyFont="1" applyFill="1" applyBorder="1" applyProtection="1">
      <protection hidden="1"/>
    </xf>
    <xf numFmtId="3" fontId="17" fillId="16" borderId="49" xfId="0" applyNumberFormat="1" applyFont="1" applyFill="1" applyBorder="1" applyProtection="1">
      <protection hidden="1"/>
    </xf>
    <xf numFmtId="3" fontId="17" fillId="16" borderId="73" xfId="0" applyNumberFormat="1" applyFont="1" applyFill="1" applyBorder="1" applyProtection="1">
      <protection hidden="1"/>
    </xf>
    <xf numFmtId="3" fontId="17" fillId="16" borderId="74" xfId="0" applyNumberFormat="1" applyFont="1" applyFill="1" applyBorder="1" applyProtection="1">
      <protection hidden="1"/>
    </xf>
    <xf numFmtId="3" fontId="17" fillId="16" borderId="0" xfId="0" applyNumberFormat="1" applyFont="1" applyFill="1" applyProtection="1">
      <protection hidden="1"/>
    </xf>
    <xf numFmtId="3" fontId="17" fillId="16" borderId="32" xfId="0" applyNumberFormat="1" applyFont="1" applyFill="1" applyBorder="1" applyProtection="1">
      <protection hidden="1"/>
    </xf>
    <xf numFmtId="3" fontId="17" fillId="16" borderId="3" xfId="0" applyNumberFormat="1" applyFont="1" applyFill="1" applyBorder="1" applyProtection="1">
      <protection hidden="1"/>
    </xf>
    <xf numFmtId="3" fontId="17" fillId="16" borderId="47" xfId="0" applyNumberFormat="1" applyFont="1" applyFill="1" applyBorder="1" applyProtection="1">
      <protection hidden="1"/>
    </xf>
    <xf numFmtId="3" fontId="17" fillId="16" borderId="31" xfId="0" applyNumberFormat="1" applyFont="1" applyFill="1" applyBorder="1" applyProtection="1">
      <protection hidden="1"/>
    </xf>
    <xf numFmtId="3" fontId="16" fillId="16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56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24" fillId="8" borderId="0" xfId="0" applyFont="1" applyFill="1" applyAlignment="1" applyProtection="1">
      <alignment horizontal="center"/>
      <protection hidden="1"/>
    </xf>
    <xf numFmtId="0" fontId="14" fillId="9" borderId="21" xfId="0" applyFont="1" applyFill="1" applyBorder="1" applyAlignment="1" applyProtection="1">
      <alignment horizontal="center"/>
      <protection hidden="1"/>
    </xf>
    <xf numFmtId="0" fontId="16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7" fillId="18" borderId="75" xfId="0" applyFont="1" applyFill="1" applyBorder="1" applyProtection="1">
      <protection hidden="1"/>
    </xf>
    <xf numFmtId="0" fontId="11" fillId="0" borderId="32" xfId="0" applyFont="1" applyBorder="1" applyProtection="1">
      <protection hidden="1"/>
    </xf>
    <xf numFmtId="0" fontId="17" fillId="18" borderId="76" xfId="0" applyFont="1" applyFill="1" applyBorder="1" applyProtection="1">
      <protection hidden="1"/>
    </xf>
    <xf numFmtId="0" fontId="17" fillId="8" borderId="77" xfId="0" applyFont="1" applyFill="1" applyBorder="1" applyProtection="1">
      <protection hidden="1"/>
    </xf>
    <xf numFmtId="3" fontId="0" fillId="0" borderId="72" xfId="0" applyNumberFormat="1" applyBorder="1" applyProtection="1">
      <protection hidden="1"/>
    </xf>
    <xf numFmtId="3" fontId="0" fillId="0" borderId="49" xfId="0" applyNumberFormat="1" applyBorder="1" applyProtection="1">
      <protection hidden="1"/>
    </xf>
    <xf numFmtId="0" fontId="0" fillId="0" borderId="74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72" xfId="5" applyFont="1" applyFill="1" applyBorder="1" applyAlignment="1" applyProtection="1">
      <alignment horizontal="centerContinuous" vertical="center"/>
      <protection hidden="1"/>
    </xf>
    <xf numFmtId="164" fontId="11" fillId="4" borderId="49" xfId="5" applyFont="1" applyFill="1" applyBorder="1" applyAlignment="1" applyProtection="1">
      <alignment vertical="center"/>
      <protection hidden="1"/>
    </xf>
    <xf numFmtId="0" fontId="11" fillId="4" borderId="49" xfId="6" applyFont="1" applyFill="1" applyBorder="1" applyProtection="1">
      <protection hidden="1"/>
    </xf>
    <xf numFmtId="164" fontId="12" fillId="4" borderId="74" xfId="5" applyFont="1" applyFill="1" applyBorder="1" applyAlignment="1" applyProtection="1">
      <alignment horizontal="centerContinuous" vertical="center"/>
      <protection hidden="1"/>
    </xf>
    <xf numFmtId="164" fontId="11" fillId="4" borderId="32" xfId="5" applyFont="1" applyFill="1" applyBorder="1" applyAlignment="1" applyProtection="1">
      <alignment vertical="center"/>
      <protection hidden="1"/>
    </xf>
    <xf numFmtId="164" fontId="11" fillId="4" borderId="74" xfId="5" applyFont="1" applyFill="1" applyBorder="1" applyAlignment="1" applyProtection="1">
      <alignment horizontal="left" vertical="center"/>
      <protection hidden="1"/>
    </xf>
    <xf numFmtId="164" fontId="11" fillId="8" borderId="10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74" xfId="6" applyFont="1" applyFill="1" applyBorder="1" applyProtection="1">
      <protection hidden="1"/>
    </xf>
    <xf numFmtId="164" fontId="11" fillId="10" borderId="15" xfId="5" applyFont="1" applyFill="1" applyBorder="1" applyAlignment="1" applyProtection="1">
      <alignment horizontal="right" vertical="center"/>
      <protection hidden="1"/>
    </xf>
    <xf numFmtId="0" fontId="11" fillId="8" borderId="32" xfId="0" applyFont="1" applyFill="1" applyBorder="1" applyProtection="1"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11" fillId="23" borderId="1" xfId="0" applyFont="1" applyFill="1" applyBorder="1" applyAlignment="1" applyProtection="1">
      <alignment horizontal="center" wrapText="1"/>
      <protection hidden="1"/>
    </xf>
    <xf numFmtId="0" fontId="11" fillId="4" borderId="72" xfId="0" applyFont="1" applyFill="1" applyBorder="1" applyAlignment="1" applyProtection="1">
      <alignment horizontal="centerContinuous"/>
      <protection hidden="1"/>
    </xf>
    <xf numFmtId="3" fontId="11" fillId="4" borderId="49" xfId="0" applyNumberFormat="1" applyFont="1" applyFill="1" applyBorder="1" applyProtection="1">
      <protection hidden="1"/>
    </xf>
    <xf numFmtId="3" fontId="11" fillId="4" borderId="73" xfId="0" applyNumberFormat="1" applyFont="1" applyFill="1" applyBorder="1" applyProtection="1">
      <protection hidden="1"/>
    </xf>
    <xf numFmtId="0" fontId="11" fillId="4" borderId="74" xfId="0" applyFont="1" applyFill="1" applyBorder="1" applyAlignment="1" applyProtection="1">
      <alignment horizontal="centerContinuous"/>
      <protection hidden="1"/>
    </xf>
    <xf numFmtId="3" fontId="11" fillId="4" borderId="32" xfId="0" applyNumberFormat="1" applyFont="1" applyFill="1" applyBorder="1" applyProtection="1">
      <protection hidden="1"/>
    </xf>
    <xf numFmtId="0" fontId="11" fillId="4" borderId="74" xfId="0" applyFont="1" applyFill="1" applyBorder="1" applyProtection="1">
      <protection hidden="1"/>
    </xf>
    <xf numFmtId="3" fontId="11" fillId="4" borderId="32" xfId="0" applyNumberFormat="1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6" fillId="13" borderId="82" xfId="0" applyFont="1" applyFill="1" applyBorder="1" applyProtection="1">
      <protection hidden="1"/>
    </xf>
    <xf numFmtId="3" fontId="17" fillId="13" borderId="83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84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6" fillId="23" borderId="82" xfId="0" applyFont="1" applyFill="1" applyBorder="1" applyProtection="1">
      <protection hidden="1"/>
    </xf>
    <xf numFmtId="3" fontId="16" fillId="23" borderId="83" xfId="5" applyNumberFormat="1" applyFont="1" applyFill="1" applyBorder="1" applyProtection="1">
      <protection hidden="1"/>
    </xf>
    <xf numFmtId="0" fontId="17" fillId="23" borderId="5" xfId="0" applyFont="1" applyFill="1" applyBorder="1" applyProtection="1">
      <protection hidden="1"/>
    </xf>
    <xf numFmtId="0" fontId="16" fillId="23" borderId="9" xfId="0" applyFont="1" applyFill="1" applyBorder="1" applyProtection="1">
      <protection hidden="1"/>
    </xf>
    <xf numFmtId="0" fontId="16" fillId="11" borderId="82" xfId="0" applyFont="1" applyFill="1" applyBorder="1" applyProtection="1">
      <protection hidden="1"/>
    </xf>
    <xf numFmtId="3" fontId="16" fillId="11" borderId="83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4" xfId="5" applyFont="1" applyFill="1" applyBorder="1" applyAlignment="1" applyProtection="1">
      <alignment vertical="center" wrapText="1"/>
      <protection hidden="1"/>
    </xf>
    <xf numFmtId="0" fontId="16" fillId="11" borderId="9" xfId="0" applyFont="1" applyFill="1" applyBorder="1" applyProtection="1">
      <protection hidden="1"/>
    </xf>
    <xf numFmtId="0" fontId="16" fillId="17" borderId="20" xfId="0" applyFont="1" applyFill="1" applyBorder="1" applyProtection="1">
      <protection hidden="1"/>
    </xf>
    <xf numFmtId="0" fontId="16" fillId="13" borderId="20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56" xfId="5" applyNumberFormat="1" applyFont="1" applyFill="1" applyBorder="1" applyProtection="1">
      <protection hidden="1"/>
    </xf>
    <xf numFmtId="0" fontId="16" fillId="9" borderId="10" xfId="0" applyFont="1" applyFill="1" applyBorder="1" applyAlignment="1" applyProtection="1">
      <alignment horizontal="centerContinuous"/>
      <protection hidden="1"/>
    </xf>
    <xf numFmtId="0" fontId="17" fillId="13" borderId="82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74" xfId="0" applyFont="1" applyFill="1" applyBorder="1" applyProtection="1">
      <protection hidden="1"/>
    </xf>
    <xf numFmtId="0" fontId="16" fillId="13" borderId="10" xfId="0" applyFont="1" applyFill="1" applyBorder="1" applyProtection="1">
      <protection hidden="1"/>
    </xf>
    <xf numFmtId="0" fontId="17" fillId="23" borderId="3" xfId="0" applyFont="1" applyFill="1" applyBorder="1" applyProtection="1">
      <protection hidden="1"/>
    </xf>
    <xf numFmtId="0" fontId="16" fillId="23" borderId="10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10" xfId="0" applyFont="1" applyFill="1" applyBorder="1" applyProtection="1">
      <protection hidden="1"/>
    </xf>
    <xf numFmtId="0" fontId="16" fillId="17" borderId="21" xfId="0" applyFont="1" applyFill="1" applyBorder="1" applyProtection="1">
      <protection hidden="1"/>
    </xf>
    <xf numFmtId="0" fontId="16" fillId="13" borderId="21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8" borderId="31" xfId="5" applyNumberFormat="1" applyFont="1" applyFill="1" applyBorder="1" applyProtection="1">
      <protection hidden="1"/>
    </xf>
    <xf numFmtId="0" fontId="11" fillId="18" borderId="75" xfId="0" applyFont="1" applyFill="1" applyBorder="1" applyProtection="1">
      <protection hidden="1"/>
    </xf>
    <xf numFmtId="2" fontId="11" fillId="18" borderId="49" xfId="0" applyNumberFormat="1" applyFont="1" applyFill="1" applyBorder="1" applyProtection="1">
      <protection hidden="1"/>
    </xf>
    <xf numFmtId="2" fontId="11" fillId="18" borderId="73" xfId="0" applyNumberFormat="1" applyFont="1" applyFill="1" applyBorder="1" applyProtection="1">
      <protection hidden="1"/>
    </xf>
    <xf numFmtId="0" fontId="11" fillId="18" borderId="76" xfId="0" applyFont="1" applyFill="1" applyBorder="1" applyProtection="1">
      <protection hidden="1"/>
    </xf>
    <xf numFmtId="2" fontId="11" fillId="18" borderId="78" xfId="0" applyNumberFormat="1" applyFont="1" applyFill="1" applyBorder="1" applyProtection="1">
      <protection hidden="1"/>
    </xf>
    <xf numFmtId="2" fontId="11" fillId="18" borderId="32" xfId="0" applyNumberFormat="1" applyFont="1" applyFill="1" applyBorder="1" applyProtection="1">
      <protection hidden="1"/>
    </xf>
    <xf numFmtId="0" fontId="11" fillId="18" borderId="79" xfId="0" applyFont="1" applyFill="1" applyBorder="1" applyProtection="1">
      <protection hidden="1"/>
    </xf>
    <xf numFmtId="2" fontId="11" fillId="18" borderId="41" xfId="0" applyNumberFormat="1" applyFont="1" applyFill="1" applyBorder="1" applyProtection="1">
      <protection hidden="1"/>
    </xf>
    <xf numFmtId="2" fontId="11" fillId="18" borderId="46" xfId="0" applyNumberFormat="1" applyFont="1" applyFill="1" applyBorder="1" applyProtection="1">
      <protection hidden="1"/>
    </xf>
    <xf numFmtId="2" fontId="11" fillId="18" borderId="40" xfId="0" applyNumberFormat="1" applyFont="1" applyFill="1" applyBorder="1" applyProtection="1">
      <protection hidden="1"/>
    </xf>
    <xf numFmtId="2" fontId="11" fillId="18" borderId="80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42" xfId="0" applyNumberFormat="1" applyFont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2" fontId="11" fillId="8" borderId="56" xfId="0" applyNumberFormat="1" applyFont="1" applyFill="1" applyBorder="1" applyProtection="1">
      <protection hidden="1"/>
    </xf>
    <xf numFmtId="0" fontId="11" fillId="19" borderId="75" xfId="0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32" xfId="0" applyNumberFormat="1" applyFont="1" applyFill="1" applyBorder="1" applyProtection="1">
      <protection hidden="1"/>
    </xf>
    <xf numFmtId="0" fontId="11" fillId="19" borderId="79" xfId="0" applyFont="1" applyFill="1" applyBorder="1" applyProtection="1">
      <protection hidden="1"/>
    </xf>
    <xf numFmtId="0" fontId="11" fillId="19" borderId="76" xfId="0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45" xfId="0" applyNumberFormat="1" applyFont="1" applyFill="1" applyBorder="1" applyProtection="1">
      <protection hidden="1"/>
    </xf>
    <xf numFmtId="2" fontId="11" fillId="19" borderId="37" xfId="0" applyNumberFormat="1" applyFont="1" applyFill="1" applyBorder="1" applyProtection="1">
      <protection hidden="1"/>
    </xf>
    <xf numFmtId="2" fontId="11" fillId="19" borderId="78" xfId="0" applyNumberFormat="1" applyFont="1" applyFill="1" applyBorder="1" applyProtection="1">
      <protection hidden="1"/>
    </xf>
    <xf numFmtId="0" fontId="11" fillId="20" borderId="79" xfId="0" applyFont="1" applyFill="1" applyBorder="1" applyProtection="1">
      <protection hidden="1"/>
    </xf>
    <xf numFmtId="10" fontId="11" fillId="20" borderId="0" xfId="0" applyNumberFormat="1" applyFont="1" applyFill="1" applyProtection="1">
      <protection hidden="1"/>
    </xf>
    <xf numFmtId="10" fontId="11" fillId="20" borderId="32" xfId="0" applyNumberFormat="1" applyFont="1" applyFill="1" applyBorder="1" applyProtection="1">
      <protection hidden="1"/>
    </xf>
    <xf numFmtId="0" fontId="11" fillId="20" borderId="74" xfId="0" applyFont="1" applyFill="1" applyBorder="1" applyProtection="1">
      <protection hidden="1"/>
    </xf>
    <xf numFmtId="0" fontId="11" fillId="20" borderId="75" xfId="0" applyFont="1" applyFill="1" applyBorder="1" applyProtection="1">
      <protection hidden="1"/>
    </xf>
    <xf numFmtId="0" fontId="11" fillId="20" borderId="76" xfId="0" applyFont="1" applyFill="1" applyBorder="1" applyProtection="1">
      <protection hidden="1"/>
    </xf>
    <xf numFmtId="169" fontId="11" fillId="20" borderId="38" xfId="0" applyNumberFormat="1" applyFont="1" applyFill="1" applyBorder="1" applyProtection="1">
      <protection hidden="1"/>
    </xf>
    <xf numFmtId="169" fontId="11" fillId="20" borderId="45" xfId="0" applyNumberFormat="1" applyFont="1" applyFill="1" applyBorder="1" applyProtection="1">
      <protection hidden="1"/>
    </xf>
    <xf numFmtId="169" fontId="11" fillId="20" borderId="37" xfId="0" applyNumberFormat="1" applyFont="1" applyFill="1" applyBorder="1" applyProtection="1">
      <protection hidden="1"/>
    </xf>
    <xf numFmtId="169" fontId="11" fillId="20" borderId="78" xfId="0" applyNumberFormat="1" applyFont="1" applyFill="1" applyBorder="1" applyProtection="1">
      <protection hidden="1"/>
    </xf>
    <xf numFmtId="0" fontId="11" fillId="11" borderId="72" xfId="0" applyFont="1" applyFill="1" applyBorder="1" applyProtection="1">
      <protection hidden="1"/>
    </xf>
    <xf numFmtId="2" fontId="11" fillId="11" borderId="49" xfId="0" applyNumberFormat="1" applyFont="1" applyFill="1" applyBorder="1" applyProtection="1">
      <protection hidden="1"/>
    </xf>
    <xf numFmtId="2" fontId="11" fillId="11" borderId="73" xfId="0" applyNumberFormat="1" applyFont="1" applyFill="1" applyBorder="1" applyProtection="1">
      <protection hidden="1"/>
    </xf>
    <xf numFmtId="0" fontId="11" fillId="11" borderId="74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32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42" xfId="0" applyFont="1" applyBorder="1"/>
    <xf numFmtId="0" fontId="30" fillId="0" borderId="56" xfId="0" applyFont="1" applyBorder="1"/>
    <xf numFmtId="0" fontId="11" fillId="22" borderId="74" xfId="0" applyFont="1" applyFill="1" applyBorder="1" applyProtection="1">
      <protection hidden="1"/>
    </xf>
    <xf numFmtId="2" fontId="11" fillId="22" borderId="0" xfId="0" applyNumberFormat="1" applyFont="1" applyFill="1" applyProtection="1">
      <protection hidden="1"/>
    </xf>
    <xf numFmtId="2" fontId="11" fillId="22" borderId="32" xfId="0" applyNumberFormat="1" applyFont="1" applyFill="1" applyBorder="1" applyProtection="1">
      <protection hidden="1"/>
    </xf>
    <xf numFmtId="0" fontId="11" fillId="22" borderId="3" xfId="0" applyFont="1" applyFill="1" applyBorder="1" applyProtection="1">
      <protection hidden="1"/>
    </xf>
    <xf numFmtId="3" fontId="11" fillId="22" borderId="47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5" borderId="1" xfId="0" applyNumberFormat="1" applyFont="1" applyFill="1" applyBorder="1" applyProtection="1">
      <protection hidden="1"/>
    </xf>
    <xf numFmtId="169" fontId="10" fillId="25" borderId="1" xfId="0" applyNumberFormat="1" applyFont="1" applyFill="1" applyBorder="1" applyProtection="1">
      <protection hidden="1"/>
    </xf>
    <xf numFmtId="3" fontId="39" fillId="25" borderId="1" xfId="0" applyNumberFormat="1" applyFont="1" applyFill="1" applyBorder="1" applyProtection="1">
      <protection hidden="1"/>
    </xf>
    <xf numFmtId="9" fontId="10" fillId="25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42" xfId="3" applyFill="1" applyBorder="1" applyProtection="1">
      <protection hidden="1"/>
    </xf>
    <xf numFmtId="3" fontId="2" fillId="6" borderId="56" xfId="3" applyNumberFormat="1" applyFill="1" applyBorder="1" applyProtection="1">
      <protection hidden="1"/>
    </xf>
    <xf numFmtId="166" fontId="10" fillId="25" borderId="5" xfId="0" applyNumberFormat="1" applyFont="1" applyFill="1" applyBorder="1" applyProtection="1">
      <protection hidden="1"/>
    </xf>
    <xf numFmtId="169" fontId="10" fillId="25" borderId="5" xfId="0" applyNumberFormat="1" applyFont="1" applyFill="1" applyBorder="1" applyProtection="1">
      <protection hidden="1"/>
    </xf>
    <xf numFmtId="3" fontId="39" fillId="25" borderId="5" xfId="0" applyNumberFormat="1" applyFont="1" applyFill="1" applyBorder="1" applyProtection="1">
      <protection hidden="1"/>
    </xf>
    <xf numFmtId="0" fontId="36" fillId="6" borderId="2" xfId="3" applyFont="1" applyFill="1" applyBorder="1" applyProtection="1">
      <protection hidden="1"/>
    </xf>
    <xf numFmtId="0" fontId="36" fillId="6" borderId="42" xfId="3" applyFont="1" applyFill="1" applyBorder="1" applyProtection="1">
      <protection hidden="1"/>
    </xf>
    <xf numFmtId="3" fontId="36" fillId="6" borderId="56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6" borderId="2" xfId="3" applyFont="1" applyFill="1" applyBorder="1" applyProtection="1">
      <protection hidden="1"/>
    </xf>
    <xf numFmtId="0" fontId="11" fillId="16" borderId="42" xfId="3" applyFont="1" applyFill="1" applyBorder="1" applyProtection="1">
      <protection hidden="1"/>
    </xf>
    <xf numFmtId="3" fontId="11" fillId="16" borderId="56" xfId="3" applyNumberFormat="1" applyFont="1" applyFill="1" applyBorder="1" applyProtection="1">
      <protection hidden="1"/>
    </xf>
    <xf numFmtId="3" fontId="1" fillId="16" borderId="1" xfId="0" applyNumberFormat="1" applyFont="1" applyFill="1" applyBorder="1" applyProtection="1">
      <protection hidden="1"/>
    </xf>
    <xf numFmtId="0" fontId="11" fillId="16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47" fillId="0" borderId="0" xfId="0" applyNumberFormat="1" applyFont="1" applyProtection="1">
      <protection hidden="1"/>
    </xf>
    <xf numFmtId="0" fontId="2" fillId="29" borderId="72" xfId="3" applyFill="1" applyBorder="1" applyProtection="1">
      <protection hidden="1"/>
    </xf>
    <xf numFmtId="1" fontId="2" fillId="29" borderId="49" xfId="3" applyNumberFormat="1" applyFill="1" applyBorder="1" applyAlignment="1" applyProtection="1">
      <alignment horizontal="center"/>
      <protection hidden="1"/>
    </xf>
    <xf numFmtId="1" fontId="2" fillId="29" borderId="73" xfId="3" applyNumberFormat="1" applyFill="1" applyBorder="1" applyAlignment="1" applyProtection="1">
      <alignment horizontal="center"/>
      <protection hidden="1"/>
    </xf>
    <xf numFmtId="3" fontId="40" fillId="5" borderId="1" xfId="0" applyNumberFormat="1" applyFont="1" applyFill="1" applyBorder="1" applyProtection="1">
      <protection hidden="1"/>
    </xf>
    <xf numFmtId="0" fontId="11" fillId="0" borderId="1" xfId="0" applyFont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0" fontId="30" fillId="16" borderId="1" xfId="0" applyFont="1" applyFill="1" applyBorder="1" applyProtection="1">
      <protection hidden="1"/>
    </xf>
    <xf numFmtId="9" fontId="30" fillId="16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6" borderId="1" xfId="1" applyNumberFormat="1" applyFont="1" applyFill="1" applyBorder="1" applyAlignment="1" applyProtection="1">
      <alignment horizontal="right"/>
      <protection hidden="1"/>
    </xf>
    <xf numFmtId="0" fontId="9" fillId="16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locked="0"/>
    </xf>
    <xf numFmtId="0" fontId="9" fillId="16" borderId="1" xfId="0" applyFont="1" applyFill="1" applyBorder="1" applyAlignment="1" applyProtection="1">
      <alignment horizontal="left"/>
      <protection hidden="1"/>
    </xf>
    <xf numFmtId="0" fontId="48" fillId="0" borderId="0" xfId="0" applyFont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5" borderId="0" xfId="0" applyNumberFormat="1" applyFont="1" applyFill="1" applyProtection="1">
      <protection hidden="1"/>
    </xf>
    <xf numFmtId="9" fontId="10" fillId="25" borderId="0" xfId="0" applyNumberFormat="1" applyFont="1" applyFill="1" applyProtection="1">
      <protection hidden="1"/>
    </xf>
    <xf numFmtId="0" fontId="0" fillId="0" borderId="49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3" fontId="17" fillId="23" borderId="1" xfId="5" applyNumberFormat="1" applyFont="1" applyFill="1" applyBorder="1" applyAlignment="1" applyProtection="1">
      <alignment horizontal="right"/>
      <protection hidden="1"/>
    </xf>
    <xf numFmtId="4" fontId="51" fillId="8" borderId="0" xfId="2" applyNumberFormat="1" applyFont="1" applyFill="1" applyBorder="1" applyAlignment="1" applyProtection="1">
      <alignment horizontal="left" vertical="center"/>
      <protection hidden="1"/>
    </xf>
    <xf numFmtId="0" fontId="48" fillId="8" borderId="0" xfId="0" applyFont="1" applyFill="1" applyProtection="1">
      <protection hidden="1"/>
    </xf>
    <xf numFmtId="164" fontId="11" fillId="4" borderId="73" xfId="5" applyFont="1" applyFill="1" applyBorder="1" applyAlignment="1" applyProtection="1">
      <alignment vertical="center"/>
      <protection hidden="1"/>
    </xf>
    <xf numFmtId="0" fontId="11" fillId="4" borderId="74" xfId="6" applyFont="1" applyFill="1" applyBorder="1" applyProtection="1">
      <protection hidden="1"/>
    </xf>
    <xf numFmtId="164" fontId="14" fillId="4" borderId="74" xfId="5" applyFont="1" applyFill="1" applyBorder="1" applyAlignment="1" applyProtection="1">
      <alignment vertical="center" wrapText="1"/>
      <protection hidden="1"/>
    </xf>
    <xf numFmtId="164" fontId="11" fillId="4" borderId="32" xfId="5" applyFont="1" applyFill="1" applyBorder="1" applyAlignment="1" applyProtection="1">
      <alignment horizontal="center" vertical="center"/>
      <protection hidden="1"/>
    </xf>
    <xf numFmtId="164" fontId="15" fillId="8" borderId="9" xfId="5" applyFont="1" applyFill="1" applyBorder="1" applyAlignment="1" applyProtection="1">
      <alignment horizontal="centerContinuous" vertical="center" wrapText="1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4" fontId="17" fillId="10" borderId="14" xfId="5" applyFont="1" applyFill="1" applyBorder="1" applyAlignment="1" applyProtection="1">
      <alignment vertical="center" wrapText="1"/>
      <protection hidden="1"/>
    </xf>
    <xf numFmtId="0" fontId="0" fillId="16" borderId="0" xfId="0" applyFill="1" applyProtection="1">
      <protection locked="0"/>
    </xf>
    <xf numFmtId="0" fontId="17" fillId="14" borderId="72" xfId="0" applyFont="1" applyFill="1" applyBorder="1" applyAlignment="1" applyProtection="1">
      <alignment vertical="center"/>
      <protection locked="0"/>
    </xf>
    <xf numFmtId="0" fontId="18" fillId="14" borderId="48" xfId="0" applyFont="1" applyFill="1" applyBorder="1" applyAlignment="1" applyProtection="1">
      <alignment horizontal="center" vertical="center" wrapText="1"/>
      <protection locked="0"/>
    </xf>
    <xf numFmtId="0" fontId="18" fillId="14" borderId="49" xfId="0" applyFont="1" applyFill="1" applyBorder="1" applyAlignment="1" applyProtection="1">
      <alignment vertical="center" wrapText="1"/>
      <protection locked="0"/>
    </xf>
    <xf numFmtId="3" fontId="16" fillId="14" borderId="49" xfId="0" applyNumberFormat="1" applyFont="1" applyFill="1" applyBorder="1" applyAlignment="1" applyProtection="1">
      <alignment vertical="center" wrapText="1"/>
      <protection locked="0"/>
    </xf>
    <xf numFmtId="3" fontId="16" fillId="14" borderId="73" xfId="0" applyNumberFormat="1" applyFont="1" applyFill="1" applyBorder="1" applyAlignment="1" applyProtection="1">
      <alignment vertical="center" wrapText="1"/>
      <protection locked="0"/>
    </xf>
    <xf numFmtId="0" fontId="17" fillId="14" borderId="74" xfId="0" applyFont="1" applyFill="1" applyBorder="1" applyAlignment="1" applyProtection="1">
      <alignment vertical="center"/>
      <protection locked="0"/>
    </xf>
    <xf numFmtId="0" fontId="18" fillId="14" borderId="6" xfId="0" applyFont="1" applyFill="1" applyBorder="1" applyAlignment="1" applyProtection="1">
      <alignment vertical="center" wrapText="1"/>
      <protection locked="0"/>
    </xf>
    <xf numFmtId="0" fontId="18" fillId="14" borderId="0" xfId="0" applyFont="1" applyFill="1" applyAlignment="1" applyProtection="1">
      <alignment vertical="center" wrapText="1"/>
      <protection locked="0"/>
    </xf>
    <xf numFmtId="0" fontId="18" fillId="14" borderId="32" xfId="0" applyFont="1" applyFill="1" applyBorder="1" applyAlignment="1" applyProtection="1">
      <alignment vertical="center" wrapText="1"/>
      <protection locked="0"/>
    </xf>
    <xf numFmtId="0" fontId="17" fillId="8" borderId="15" xfId="0" applyFont="1" applyFill="1" applyBorder="1" applyAlignment="1" applyProtection="1">
      <alignment horizontal="right" vertical="center"/>
      <protection locked="0"/>
    </xf>
    <xf numFmtId="3" fontId="11" fillId="15" borderId="1" xfId="5" applyNumberFormat="1" applyFont="1" applyFill="1" applyBorder="1" applyAlignment="1" applyProtection="1">
      <alignment horizontal="right" vertical="center"/>
      <protection locked="0"/>
    </xf>
    <xf numFmtId="3" fontId="11" fillId="4" borderId="14" xfId="5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Protection="1">
      <protection locked="0"/>
    </xf>
    <xf numFmtId="3" fontId="11" fillId="8" borderId="52" xfId="5" applyNumberFormat="1" applyFont="1" applyFill="1" applyBorder="1" applyAlignment="1" applyProtection="1">
      <alignment horizontal="right" vertical="center"/>
      <protection locked="0"/>
    </xf>
    <xf numFmtId="0" fontId="17" fillId="8" borderId="17" xfId="0" applyFont="1" applyFill="1" applyBorder="1" applyAlignment="1" applyProtection="1">
      <alignment horizontal="left" vertical="center" wrapText="1"/>
      <protection locked="0"/>
    </xf>
    <xf numFmtId="0" fontId="17" fillId="8" borderId="74" xfId="0" applyFont="1" applyFill="1" applyBorder="1" applyAlignment="1" applyProtection="1">
      <alignment vertical="center"/>
      <protection locked="0"/>
    </xf>
    <xf numFmtId="0" fontId="17" fillId="8" borderId="0" xfId="0" applyFont="1" applyFill="1" applyAlignment="1" applyProtection="1">
      <alignment horizontal="left" vertical="center" wrapText="1"/>
      <protection locked="0"/>
    </xf>
    <xf numFmtId="164" fontId="17" fillId="8" borderId="0" xfId="5" applyFont="1" applyFill="1" applyBorder="1" applyAlignment="1" applyProtection="1">
      <alignment horizontal="right" vertical="center"/>
      <protection locked="0"/>
    </xf>
    <xf numFmtId="0" fontId="17" fillId="8" borderId="43" xfId="0" applyFont="1" applyFill="1" applyBorder="1" applyAlignment="1" applyProtection="1">
      <alignment horizontal="right" vertical="center"/>
      <protection locked="0"/>
    </xf>
    <xf numFmtId="0" fontId="17" fillId="8" borderId="25" xfId="0" applyFont="1" applyFill="1" applyBorder="1" applyAlignment="1" applyProtection="1">
      <alignment horizontal="left" vertical="center" wrapText="1"/>
      <protection locked="0"/>
    </xf>
    <xf numFmtId="3" fontId="11" fillId="8" borderId="26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64" fontId="17" fillId="0" borderId="0" xfId="5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67" fontId="11" fillId="0" borderId="0" xfId="0" applyNumberFormat="1" applyFont="1" applyProtection="1">
      <protection locked="0"/>
    </xf>
    <xf numFmtId="168" fontId="19" fillId="0" borderId="0" xfId="0" applyNumberFormat="1" applyFont="1" applyProtection="1">
      <protection locked="0"/>
    </xf>
    <xf numFmtId="168" fontId="11" fillId="0" borderId="0" xfId="0" applyNumberFormat="1" applyFont="1" applyProtection="1">
      <protection locked="0"/>
    </xf>
    <xf numFmtId="0" fontId="14" fillId="9" borderId="7" xfId="0" applyFont="1" applyFill="1" applyBorder="1" applyAlignment="1" applyProtection="1">
      <alignment vertical="center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1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85" xfId="5" applyNumberFormat="1" applyFont="1" applyFill="1" applyBorder="1" applyAlignment="1" applyProtection="1">
      <alignment horizontal="center" vertical="center" wrapText="1"/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hidden="1"/>
    </xf>
    <xf numFmtId="3" fontId="11" fillId="8" borderId="15" xfId="5" applyNumberFormat="1" applyFont="1" applyFill="1" applyBorder="1" applyAlignment="1" applyProtection="1">
      <alignment horizontal="right" vertical="center"/>
      <protection hidden="1"/>
    </xf>
    <xf numFmtId="3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35" fillId="26" borderId="53" xfId="0" applyFont="1" applyFill="1" applyBorder="1" applyAlignment="1" applyProtection="1">
      <alignment vertical="center"/>
      <protection hidden="1"/>
    </xf>
    <xf numFmtId="0" fontId="35" fillId="26" borderId="24" xfId="0" applyFont="1" applyFill="1" applyBorder="1" applyAlignment="1" applyProtection="1">
      <alignment horizontal="left" vertical="center" wrapText="1"/>
      <protection hidden="1"/>
    </xf>
    <xf numFmtId="3" fontId="35" fillId="27" borderId="51" xfId="5" applyNumberFormat="1" applyFont="1" applyFill="1" applyBorder="1" applyAlignment="1" applyProtection="1">
      <alignment horizontal="right" vertical="center"/>
      <protection hidden="1"/>
    </xf>
    <xf numFmtId="0" fontId="14" fillId="9" borderId="2" xfId="0" applyFont="1" applyFill="1" applyBorder="1" applyAlignment="1" applyProtection="1">
      <alignment vertical="center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21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4" fillId="15" borderId="1" xfId="5" applyNumberFormat="1" applyFont="1" applyFill="1" applyBorder="1" applyAlignment="1" applyProtection="1">
      <alignment horizontal="right" vertical="center"/>
      <protection hidden="1"/>
    </xf>
    <xf numFmtId="3" fontId="16" fillId="4" borderId="51" xfId="0" applyNumberFormat="1" applyFont="1" applyFill="1" applyBorder="1" applyAlignment="1" applyProtection="1">
      <alignment horizontal="right" vertical="center" wrapText="1"/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37" borderId="15" xfId="5" applyFont="1" applyFill="1" applyBorder="1" applyAlignment="1" applyProtection="1">
      <alignment horizontal="right" vertical="center"/>
      <protection hidden="1"/>
    </xf>
    <xf numFmtId="164" fontId="17" fillId="37" borderId="14" xfId="5" applyFont="1" applyFill="1" applyBorder="1" applyAlignment="1" applyProtection="1">
      <alignment vertical="center" wrapText="1"/>
      <protection hidden="1"/>
    </xf>
    <xf numFmtId="0" fontId="17" fillId="37" borderId="14" xfId="0" applyFont="1" applyFill="1" applyBorder="1" applyAlignment="1" applyProtection="1">
      <alignment horizontal="left" vertical="center" wrapText="1"/>
      <protection hidden="1"/>
    </xf>
    <xf numFmtId="164" fontId="11" fillId="37" borderId="74" xfId="5" applyFont="1" applyFill="1" applyBorder="1" applyAlignment="1" applyProtection="1">
      <alignment horizontal="right" vertical="center"/>
      <protection hidden="1"/>
    </xf>
    <xf numFmtId="164" fontId="17" fillId="37" borderId="84" xfId="5" applyFont="1" applyFill="1" applyBorder="1" applyAlignment="1" applyProtection="1">
      <alignment vertical="center" wrapText="1"/>
      <protection hidden="1"/>
    </xf>
    <xf numFmtId="0" fontId="16" fillId="37" borderId="2" xfId="0" applyFont="1" applyFill="1" applyBorder="1" applyAlignment="1" applyProtection="1">
      <alignment horizontal="center" vertical="center"/>
      <protection locked="0"/>
    </xf>
    <xf numFmtId="0" fontId="16" fillId="37" borderId="11" xfId="0" applyFont="1" applyFill="1" applyBorder="1" applyAlignment="1" applyProtection="1">
      <alignment horizontal="left" vertical="center"/>
      <protection locked="0"/>
    </xf>
    <xf numFmtId="0" fontId="17" fillId="37" borderId="15" xfId="0" applyFont="1" applyFill="1" applyBorder="1" applyAlignment="1" applyProtection="1">
      <alignment horizontal="right" vertical="center"/>
      <protection locked="0"/>
    </xf>
    <xf numFmtId="0" fontId="17" fillId="37" borderId="16" xfId="0" applyFont="1" applyFill="1" applyBorder="1" applyAlignment="1" applyProtection="1">
      <alignment horizontal="left" vertical="center" wrapText="1"/>
      <protection locked="0"/>
    </xf>
    <xf numFmtId="49" fontId="17" fillId="37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37" borderId="12" xfId="0" applyFont="1" applyFill="1" applyBorder="1" applyAlignment="1" applyProtection="1">
      <alignment horizontal="left" vertical="center" wrapText="1"/>
      <protection locked="0"/>
    </xf>
    <xf numFmtId="0" fontId="17" fillId="37" borderId="17" xfId="0" applyFont="1" applyFill="1" applyBorder="1" applyAlignment="1" applyProtection="1">
      <alignment horizontal="left" vertical="center" wrapText="1"/>
      <protection locked="0"/>
    </xf>
    <xf numFmtId="49" fontId="17" fillId="37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37" borderId="21" xfId="0" applyFont="1" applyFill="1" applyBorder="1" applyAlignment="1" applyProtection="1">
      <alignment horizontal="center" vertical="center"/>
      <protection locked="0"/>
    </xf>
    <xf numFmtId="0" fontId="16" fillId="37" borderId="19" xfId="0" applyFont="1" applyFill="1" applyBorder="1" applyAlignment="1" applyProtection="1">
      <alignment horizontal="left" vertical="center" wrapText="1"/>
      <protection locked="0"/>
    </xf>
    <xf numFmtId="0" fontId="16" fillId="37" borderId="11" xfId="0" applyFont="1" applyFill="1" applyBorder="1" applyAlignment="1" applyProtection="1">
      <alignment horizontal="left" vertical="center" wrapText="1"/>
      <protection locked="0"/>
    </xf>
    <xf numFmtId="0" fontId="16" fillId="37" borderId="2" xfId="0" applyFont="1" applyFill="1" applyBorder="1" applyAlignment="1" applyProtection="1">
      <alignment horizontal="left" vertical="center"/>
      <protection locked="0"/>
    </xf>
    <xf numFmtId="0" fontId="17" fillId="37" borderId="14" xfId="0" applyFont="1" applyFill="1" applyBorder="1" applyAlignment="1" applyProtection="1">
      <alignment horizontal="left" vertical="center" wrapText="1"/>
      <protection locked="0"/>
    </xf>
    <xf numFmtId="0" fontId="20" fillId="37" borderId="17" xfId="0" applyFont="1" applyFill="1" applyBorder="1" applyAlignment="1" applyProtection="1">
      <alignment horizontal="left" vertical="center" wrapText="1"/>
      <protection locked="0"/>
    </xf>
    <xf numFmtId="0" fontId="11" fillId="37" borderId="6" xfId="0" applyFont="1" applyFill="1" applyBorder="1" applyProtection="1">
      <protection locked="0"/>
    </xf>
    <xf numFmtId="0" fontId="48" fillId="8" borderId="0" xfId="0" applyFont="1" applyFill="1" applyProtection="1">
      <protection locked="0"/>
    </xf>
    <xf numFmtId="166" fontId="35" fillId="23" borderId="5" xfId="0" applyNumberFormat="1" applyFont="1" applyFill="1" applyBorder="1" applyProtection="1">
      <protection hidden="1"/>
    </xf>
    <xf numFmtId="166" fontId="35" fillId="23" borderId="1" xfId="0" applyNumberFormat="1" applyFont="1" applyFill="1" applyBorder="1" applyProtection="1">
      <protection hidden="1"/>
    </xf>
    <xf numFmtId="0" fontId="11" fillId="4" borderId="49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4" xfId="5" applyNumberFormat="1" applyFont="1" applyFill="1" applyBorder="1" applyAlignment="1" applyProtection="1">
      <alignment horizontal="right" vertical="center"/>
      <protection hidden="1"/>
    </xf>
    <xf numFmtId="169" fontId="11" fillId="8" borderId="14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4" xfId="5" applyNumberFormat="1" applyFont="1" applyFill="1" applyBorder="1" applyAlignment="1" applyProtection="1">
      <alignment horizontal="right" vertical="center"/>
      <protection hidden="1"/>
    </xf>
    <xf numFmtId="164" fontId="0" fillId="0" borderId="0" xfId="0" applyNumberFormat="1"/>
    <xf numFmtId="164" fontId="0" fillId="0" borderId="1" xfId="0" applyNumberFormat="1" applyBorder="1"/>
    <xf numFmtId="164" fontId="21" fillId="0" borderId="1" xfId="0" applyNumberFormat="1" applyFont="1" applyBorder="1"/>
    <xf numFmtId="164" fontId="0" fillId="0" borderId="24" xfId="0" applyNumberFormat="1" applyBorder="1"/>
    <xf numFmtId="164" fontId="0" fillId="0" borderId="51" xfId="0" applyNumberFormat="1" applyBorder="1" applyAlignment="1">
      <alignment horizontal="center"/>
    </xf>
    <xf numFmtId="164" fontId="0" fillId="0" borderId="86" xfId="0" applyNumberFormat="1" applyBorder="1" applyAlignment="1">
      <alignment horizontal="center"/>
    </xf>
    <xf numFmtId="164" fontId="21" fillId="0" borderId="12" xfId="0" applyNumberFormat="1" applyFont="1" applyBorder="1"/>
    <xf numFmtId="164" fontId="21" fillId="0" borderId="13" xfId="0" applyNumberFormat="1" applyFont="1" applyBorder="1"/>
    <xf numFmtId="164" fontId="0" fillId="0" borderId="12" xfId="0" applyNumberFormat="1" applyBorder="1"/>
    <xf numFmtId="164" fontId="0" fillId="0" borderId="13" xfId="0" applyNumberFormat="1" applyBorder="1"/>
    <xf numFmtId="164" fontId="21" fillId="0" borderId="19" xfId="0" applyNumberFormat="1" applyFont="1" applyBorder="1"/>
    <xf numFmtId="164" fontId="21" fillId="0" borderId="20" xfId="0" applyNumberFormat="1" applyFont="1" applyBorder="1"/>
    <xf numFmtId="164" fontId="21" fillId="0" borderId="87" xfId="0" applyNumberFormat="1" applyFont="1" applyBorder="1"/>
    <xf numFmtId="164" fontId="30" fillId="0" borderId="12" xfId="0" applyNumberFormat="1" applyFont="1" applyBorder="1"/>
    <xf numFmtId="164" fontId="30" fillId="0" borderId="1" xfId="0" applyNumberFormat="1" applyFont="1" applyBorder="1"/>
    <xf numFmtId="164" fontId="30" fillId="0" borderId="13" xfId="0" applyNumberFormat="1" applyFont="1" applyBorder="1"/>
    <xf numFmtId="0" fontId="43" fillId="0" borderId="1" xfId="0" applyFont="1" applyBorder="1" applyAlignment="1" applyProtection="1">
      <alignment horizontal="left"/>
      <protection locked="0"/>
    </xf>
    <xf numFmtId="0" fontId="38" fillId="38" borderId="1" xfId="3" applyFont="1" applyFill="1" applyBorder="1" applyAlignment="1" applyProtection="1">
      <alignment horizontal="left"/>
      <protection hidden="1"/>
    </xf>
    <xf numFmtId="0" fontId="17" fillId="16" borderId="1" xfId="0" applyFont="1" applyFill="1" applyBorder="1" applyAlignment="1" applyProtection="1">
      <alignment horizontal="lef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3" fontId="38" fillId="40" borderId="1" xfId="0" applyNumberFormat="1" applyFont="1" applyFill="1" applyBorder="1" applyAlignment="1" applyProtection="1">
      <alignment horizontal="right"/>
      <protection hidden="1"/>
    </xf>
    <xf numFmtId="3" fontId="38" fillId="38" borderId="1" xfId="0" applyNumberFormat="1" applyFont="1" applyFill="1" applyBorder="1" applyAlignment="1" applyProtection="1">
      <alignment horizontal="right"/>
      <protection hidden="1"/>
    </xf>
    <xf numFmtId="3" fontId="11" fillId="16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locked="0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3" fontId="38" fillId="34" borderId="1" xfId="0" applyNumberFormat="1" applyFont="1" applyFill="1" applyBorder="1" applyAlignment="1" applyProtection="1">
      <alignment horizontal="right"/>
      <protection hidden="1"/>
    </xf>
    <xf numFmtId="0" fontId="38" fillId="34" borderId="1" xfId="3" applyFont="1" applyFill="1" applyBorder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hidden="1"/>
    </xf>
    <xf numFmtId="3" fontId="38" fillId="41" borderId="1" xfId="0" applyNumberFormat="1" applyFont="1" applyFill="1" applyBorder="1" applyAlignment="1" applyProtection="1">
      <alignment horizontal="right"/>
      <protection hidden="1"/>
    </xf>
    <xf numFmtId="3" fontId="30" fillId="16" borderId="1" xfId="1" applyNumberFormat="1" applyFont="1" applyFill="1" applyBorder="1" applyAlignment="1" applyProtection="1">
      <alignment horizontal="right"/>
      <protection hidden="1"/>
    </xf>
    <xf numFmtId="3" fontId="30" fillId="39" borderId="1" xfId="0" applyNumberFormat="1" applyFont="1" applyFill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4" fontId="9" fillId="0" borderId="1" xfId="0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7" fontId="11" fillId="23" borderId="14" xfId="5" applyNumberFormat="1" applyFont="1" applyFill="1" applyBorder="1" applyAlignment="1" applyProtection="1">
      <alignment horizontal="right" vertical="center"/>
      <protection hidden="1"/>
    </xf>
    <xf numFmtId="167" fontId="11" fillId="23" borderId="15" xfId="5" applyNumberFormat="1" applyFont="1" applyFill="1" applyBorder="1" applyAlignment="1" applyProtection="1">
      <alignment horizontal="right" vertical="center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167" fontId="14" fillId="23" borderId="1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164" fontId="17" fillId="8" borderId="32" xfId="5" applyFont="1" applyFill="1" applyBorder="1" applyAlignment="1" applyProtection="1">
      <alignment horizontal="right" vertical="center"/>
      <protection hidden="1"/>
    </xf>
    <xf numFmtId="3" fontId="11" fillId="8" borderId="26" xfId="5" applyNumberFormat="1" applyFont="1" applyFill="1" applyBorder="1" applyAlignment="1" applyProtection="1">
      <alignment horizontal="right" vertical="center"/>
      <protection hidden="1"/>
    </xf>
    <xf numFmtId="3" fontId="11" fillId="8" borderId="43" xfId="5" applyNumberFormat="1" applyFont="1" applyFill="1" applyBorder="1" applyAlignment="1" applyProtection="1">
      <alignment horizontal="right" vertical="center"/>
      <protection hidden="1"/>
    </xf>
    <xf numFmtId="3" fontId="14" fillId="42" borderId="1" xfId="5" applyNumberFormat="1" applyFont="1" applyFill="1" applyBorder="1" applyAlignment="1" applyProtection="1">
      <alignment horizontal="right" vertical="center"/>
      <protection hidden="1"/>
    </xf>
    <xf numFmtId="3" fontId="11" fillId="23" borderId="14" xfId="5" applyNumberFormat="1" applyFont="1" applyFill="1" applyBorder="1" applyAlignment="1" applyProtection="1">
      <alignment horizontal="right" vertical="center"/>
      <protection hidden="1"/>
    </xf>
    <xf numFmtId="3" fontId="11" fillId="23" borderId="15" xfId="5" applyNumberFormat="1" applyFont="1" applyFill="1" applyBorder="1" applyAlignment="1" applyProtection="1">
      <alignment horizontal="right" vertical="center"/>
      <protection hidden="1"/>
    </xf>
    <xf numFmtId="3" fontId="11" fillId="42" borderId="1" xfId="5" applyNumberFormat="1" applyFont="1" applyFill="1" applyBorder="1" applyAlignment="1" applyProtection="1">
      <alignment horizontal="right" vertical="center"/>
      <protection hidden="1"/>
    </xf>
    <xf numFmtId="3" fontId="11" fillId="42" borderId="2" xfId="5" applyNumberFormat="1" applyFont="1" applyFill="1" applyBorder="1" applyAlignment="1" applyProtection="1">
      <alignment horizontal="right" vertical="center"/>
      <protection hidden="1"/>
    </xf>
    <xf numFmtId="3" fontId="14" fillId="42" borderId="1" xfId="5" applyNumberFormat="1" applyFont="1" applyFill="1" applyBorder="1" applyAlignment="1" applyProtection="1">
      <alignment vertical="center"/>
      <protection hidden="1"/>
    </xf>
    <xf numFmtId="3" fontId="14" fillId="42" borderId="2" xfId="5" applyNumberFormat="1" applyFont="1" applyFill="1" applyBorder="1" applyAlignment="1" applyProtection="1">
      <alignment horizontal="right" vertical="center"/>
      <protection hidden="1"/>
    </xf>
    <xf numFmtId="3" fontId="14" fillId="42" borderId="20" xfId="5" applyNumberFormat="1" applyFont="1" applyFill="1" applyBorder="1" applyAlignment="1" applyProtection="1">
      <alignment horizontal="right" vertical="center"/>
      <protection hidden="1"/>
    </xf>
    <xf numFmtId="3" fontId="16" fillId="42" borderId="1" xfId="5" applyNumberFormat="1" applyFont="1" applyFill="1" applyBorder="1" applyAlignment="1" applyProtection="1">
      <alignment horizontal="right" vertical="center"/>
      <protection hidden="1"/>
    </xf>
    <xf numFmtId="3" fontId="0" fillId="8" borderId="73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81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81" xfId="0" applyBorder="1" applyProtection="1">
      <protection hidden="1"/>
    </xf>
    <xf numFmtId="0" fontId="0" fillId="0" borderId="28" xfId="0" applyBorder="1" applyProtection="1">
      <protection hidden="1"/>
    </xf>
    <xf numFmtId="2" fontId="23" fillId="24" borderId="53" xfId="0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24" xfId="0" applyNumberFormat="1" applyBorder="1" applyProtection="1">
      <protection hidden="1"/>
    </xf>
    <xf numFmtId="14" fontId="0" fillId="0" borderId="30" xfId="0" applyNumberFormat="1" applyBorder="1" applyProtection="1">
      <protection hidden="1"/>
    </xf>
    <xf numFmtId="14" fontId="0" fillId="0" borderId="18" xfId="0" applyNumberFormat="1" applyBorder="1" applyProtection="1">
      <protection hidden="1"/>
    </xf>
    <xf numFmtId="0" fontId="0" fillId="8" borderId="0" xfId="0" applyFill="1" applyProtection="1">
      <protection locked="0"/>
    </xf>
    <xf numFmtId="0" fontId="55" fillId="0" borderId="0" xfId="0" applyFont="1" applyAlignment="1">
      <alignment vertical="center" wrapText="1"/>
    </xf>
    <xf numFmtId="0" fontId="56" fillId="0" borderId="0" xfId="0" applyFont="1" applyAlignment="1">
      <alignment horizontal="justify"/>
    </xf>
    <xf numFmtId="0" fontId="57" fillId="0" borderId="0" xfId="0" applyFont="1"/>
    <xf numFmtId="0" fontId="56" fillId="0" borderId="0" xfId="0" applyFont="1" applyAlignment="1">
      <alignment horizontal="justify" vertical="top"/>
    </xf>
    <xf numFmtId="0" fontId="57" fillId="0" borderId="0" xfId="0" applyFont="1" applyAlignment="1">
      <alignment vertical="top"/>
    </xf>
    <xf numFmtId="167" fontId="11" fillId="0" borderId="0" xfId="0" applyNumberFormat="1" applyFont="1" applyProtection="1">
      <protection hidden="1"/>
    </xf>
    <xf numFmtId="0" fontId="39" fillId="0" borderId="47" xfId="0" applyFont="1" applyBorder="1" applyProtection="1">
      <protection hidden="1"/>
    </xf>
    <xf numFmtId="0" fontId="41" fillId="0" borderId="47" xfId="4" applyFont="1" applyBorder="1" applyAlignment="1" applyProtection="1">
      <protection hidden="1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56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55" fillId="0" borderId="47" xfId="0" applyFont="1" applyBorder="1" applyAlignment="1">
      <alignment vertical="center" wrapText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4" fontId="52" fillId="16" borderId="1" xfId="0" applyNumberFormat="1" applyFont="1" applyFill="1" applyBorder="1" applyAlignment="1" applyProtection="1">
      <alignment horizontal="right"/>
      <protection locked="0" hidden="1"/>
    </xf>
    <xf numFmtId="14" fontId="0" fillId="16" borderId="24" xfId="0" applyNumberFormat="1" applyFill="1" applyBorder="1" applyProtection="1">
      <protection locked="0" hidden="1"/>
    </xf>
    <xf numFmtId="0" fontId="0" fillId="16" borderId="0" xfId="0" applyFill="1" applyProtection="1">
      <protection locked="0" hidden="1"/>
    </xf>
    <xf numFmtId="0" fontId="0" fillId="0" borderId="0" xfId="0" quotePrefix="1" applyProtection="1">
      <protection hidden="1"/>
    </xf>
    <xf numFmtId="0" fontId="0" fillId="0" borderId="0" xfId="0" applyProtection="1">
      <protection locked="0" hidden="1"/>
    </xf>
    <xf numFmtId="0" fontId="11" fillId="18" borderId="88" xfId="0" applyFont="1" applyFill="1" applyBorder="1" applyProtection="1">
      <protection hidden="1"/>
    </xf>
    <xf numFmtId="0" fontId="58" fillId="0" borderId="89" xfId="0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11" fillId="0" borderId="90" xfId="0" applyFont="1" applyBorder="1" applyAlignment="1" applyProtection="1">
      <alignment horizontal="center"/>
      <protection hidden="1"/>
    </xf>
    <xf numFmtId="0" fontId="11" fillId="20" borderId="91" xfId="0" applyFont="1" applyFill="1" applyBorder="1" applyProtection="1">
      <protection hidden="1"/>
    </xf>
    <xf numFmtId="0" fontId="5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2" xfId="0" applyBorder="1" applyAlignment="1">
      <alignment horizontal="center"/>
    </xf>
    <xf numFmtId="0" fontId="11" fillId="20" borderId="6" xfId="0" applyFont="1" applyFill="1" applyBorder="1" applyProtection="1">
      <protection hidden="1"/>
    </xf>
    <xf numFmtId="0" fontId="11" fillId="11" borderId="48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22" xfId="0" applyBorder="1"/>
    <xf numFmtId="0" fontId="14" fillId="0" borderId="23" xfId="0" applyFont="1" applyBorder="1" applyAlignment="1" applyProtection="1">
      <alignment horizontal="center"/>
      <protection hidden="1"/>
    </xf>
    <xf numFmtId="0" fontId="11" fillId="0" borderId="93" xfId="0" applyFont="1" applyBorder="1" applyAlignment="1" applyProtection="1">
      <alignment horizontal="center"/>
      <protection hidden="1"/>
    </xf>
    <xf numFmtId="0" fontId="59" fillId="0" borderId="0" xfId="0" applyFont="1" applyProtection="1">
      <protection hidden="1"/>
    </xf>
    <xf numFmtId="0" fontId="59" fillId="0" borderId="0" xfId="0" applyFont="1"/>
    <xf numFmtId="3" fontId="35" fillId="8" borderId="1" xfId="0" applyNumberFormat="1" applyFont="1" applyFill="1" applyBorder="1" applyProtection="1">
      <protection locked="0"/>
    </xf>
    <xf numFmtId="0" fontId="29" fillId="23" borderId="14" xfId="0" applyFont="1" applyFill="1" applyBorder="1" applyAlignment="1" applyProtection="1">
      <alignment vertical="center" wrapText="1"/>
      <protection hidden="1"/>
    </xf>
    <xf numFmtId="3" fontId="29" fillId="23" borderId="31" xfId="5" applyNumberFormat="1" applyFont="1" applyFill="1" applyBorder="1" applyProtection="1">
      <protection hidden="1"/>
    </xf>
    <xf numFmtId="0" fontId="29" fillId="23" borderId="14" xfId="0" applyFont="1" applyFill="1" applyBorder="1" applyAlignment="1" applyProtection="1">
      <alignment horizontal="left" vertical="center" wrapText="1"/>
      <protection hidden="1"/>
    </xf>
    <xf numFmtId="0" fontId="29" fillId="23" borderId="5" xfId="0" applyFont="1" applyFill="1" applyBorder="1" applyProtection="1">
      <protection hidden="1"/>
    </xf>
    <xf numFmtId="3" fontId="29" fillId="8" borderId="31" xfId="5" applyNumberFormat="1" applyFont="1" applyFill="1" applyBorder="1" applyProtection="1">
      <protection hidden="1"/>
    </xf>
    <xf numFmtId="0" fontId="50" fillId="8" borderId="0" xfId="0" applyFont="1" applyFill="1" applyProtection="1">
      <protection hidden="1"/>
    </xf>
    <xf numFmtId="0" fontId="2" fillId="8" borderId="0" xfId="0" applyFont="1" applyFill="1" applyProtection="1">
      <protection hidden="1"/>
    </xf>
    <xf numFmtId="14" fontId="0" fillId="8" borderId="0" xfId="0" applyNumberFormat="1" applyFill="1" applyProtection="1">
      <protection locked="0" hidden="1"/>
    </xf>
    <xf numFmtId="0" fontId="54" fillId="8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vertical="center"/>
    </xf>
    <xf numFmtId="0" fontId="56" fillId="8" borderId="0" xfId="0" applyFont="1" applyFill="1" applyAlignment="1">
      <alignment horizontal="right"/>
    </xf>
    <xf numFmtId="0" fontId="57" fillId="8" borderId="0" xfId="0" applyFont="1" applyFill="1"/>
    <xf numFmtId="167" fontId="11" fillId="8" borderId="0" xfId="0" applyNumberFormat="1" applyFont="1" applyFill="1" applyProtection="1">
      <protection hidden="1"/>
    </xf>
    <xf numFmtId="0" fontId="56" fillId="8" borderId="0" xfId="0" applyFont="1" applyFill="1" applyAlignment="1">
      <alignment horizontal="right" vertical="top"/>
    </xf>
    <xf numFmtId="0" fontId="57" fillId="8" borderId="0" xfId="0" applyFont="1" applyFill="1" applyAlignment="1">
      <alignment vertical="top"/>
    </xf>
    <xf numFmtId="0" fontId="0" fillId="0" borderId="0" xfId="0" applyAlignment="1">
      <alignment horizontal="left"/>
    </xf>
    <xf numFmtId="0" fontId="61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8" fillId="29" borderId="90" xfId="0" applyFont="1" applyFill="1" applyBorder="1" applyAlignment="1">
      <alignment horizontal="center" vertical="center"/>
    </xf>
    <xf numFmtId="0" fontId="68" fillId="29" borderId="90" xfId="0" applyFont="1" applyFill="1" applyBorder="1" applyAlignment="1">
      <alignment horizontal="center" vertical="center" wrapText="1"/>
    </xf>
    <xf numFmtId="0" fontId="70" fillId="43" borderId="95" xfId="0" applyFont="1" applyFill="1" applyBorder="1" applyAlignment="1">
      <alignment vertical="center" wrapText="1"/>
    </xf>
    <xf numFmtId="3" fontId="64" fillId="44" borderId="93" xfId="0" applyNumberFormat="1" applyFont="1" applyFill="1" applyBorder="1" applyAlignment="1">
      <alignment horizontal="center" vertical="center" wrapText="1"/>
    </xf>
    <xf numFmtId="0" fontId="71" fillId="45" borderId="95" xfId="0" applyFont="1" applyFill="1" applyBorder="1" applyAlignment="1">
      <alignment vertical="center"/>
    </xf>
    <xf numFmtId="3" fontId="73" fillId="31" borderId="93" xfId="0" applyNumberFormat="1" applyFont="1" applyFill="1" applyBorder="1" applyAlignment="1" applyProtection="1">
      <alignment horizontal="center" vertical="center"/>
      <protection locked="0"/>
    </xf>
    <xf numFmtId="3" fontId="74" fillId="46" borderId="93" xfId="0" applyNumberFormat="1" applyFont="1" applyFill="1" applyBorder="1" applyAlignment="1">
      <alignment vertical="top"/>
    </xf>
    <xf numFmtId="3" fontId="75" fillId="0" borderId="93" xfId="0" applyNumberFormat="1" applyFont="1" applyBorder="1" applyAlignment="1" applyProtection="1">
      <alignment horizontal="center" vertical="center"/>
      <protection locked="0"/>
    </xf>
    <xf numFmtId="0" fontId="69" fillId="29" borderId="93" xfId="0" applyFont="1" applyFill="1" applyBorder="1" applyAlignment="1">
      <alignment horizontal="center" vertical="center"/>
    </xf>
    <xf numFmtId="0" fontId="71" fillId="45" borderId="95" xfId="0" applyFont="1" applyFill="1" applyBorder="1" applyAlignment="1">
      <alignment vertical="center" wrapText="1"/>
    </xf>
    <xf numFmtId="0" fontId="72" fillId="43" borderId="95" xfId="0" applyFont="1" applyFill="1" applyBorder="1" applyAlignment="1">
      <alignment vertical="center"/>
    </xf>
    <xf numFmtId="3" fontId="72" fillId="8" borderId="93" xfId="0" applyNumberFormat="1" applyFont="1" applyFill="1" applyBorder="1" applyAlignment="1" applyProtection="1">
      <alignment horizontal="center" vertical="center"/>
      <protection locked="0"/>
    </xf>
    <xf numFmtId="3" fontId="72" fillId="8" borderId="93" xfId="0" applyNumberFormat="1" applyFont="1" applyFill="1" applyBorder="1" applyAlignment="1" applyProtection="1">
      <alignment horizontal="center" vertical="center" wrapText="1"/>
      <protection locked="0"/>
    </xf>
    <xf numFmtId="3" fontId="72" fillId="43" borderId="93" xfId="0" applyNumberFormat="1" applyFont="1" applyFill="1" applyBorder="1" applyAlignment="1">
      <alignment horizontal="center" vertical="center"/>
    </xf>
    <xf numFmtId="3" fontId="76" fillId="46" borderId="93" xfId="0" applyNumberFormat="1" applyFont="1" applyFill="1" applyBorder="1" applyAlignment="1">
      <alignment vertical="center"/>
    </xf>
    <xf numFmtId="0" fontId="72" fillId="43" borderId="95" xfId="0" applyFont="1" applyFill="1" applyBorder="1" applyAlignment="1">
      <alignment vertical="center" wrapText="1"/>
    </xf>
    <xf numFmtId="3" fontId="72" fillId="47" borderId="93" xfId="0" applyNumberFormat="1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58" fillId="0" borderId="0" xfId="0" applyFont="1"/>
    <xf numFmtId="9" fontId="0" fillId="8" borderId="0" xfId="0" applyNumberFormat="1" applyFill="1" applyProtection="1">
      <protection locked="0"/>
    </xf>
    <xf numFmtId="3" fontId="73" fillId="31" borderId="0" xfId="0" applyNumberFormat="1" applyFont="1" applyFill="1" applyAlignment="1" applyProtection="1">
      <alignment horizontal="center" vertical="center"/>
      <protection locked="0"/>
    </xf>
    <xf numFmtId="3" fontId="74" fillId="8" borderId="0" xfId="0" applyNumberFormat="1" applyFont="1" applyFill="1" applyAlignment="1">
      <alignment vertical="top"/>
    </xf>
    <xf numFmtId="0" fontId="75" fillId="0" borderId="93" xfId="0" applyFont="1" applyBorder="1" applyAlignment="1" applyProtection="1">
      <alignment vertical="center"/>
      <protection locked="0"/>
    </xf>
    <xf numFmtId="0" fontId="75" fillId="0" borderId="93" xfId="0" applyFont="1" applyBorder="1" applyAlignment="1" applyProtection="1">
      <alignment vertical="center" wrapText="1"/>
      <protection locked="0"/>
    </xf>
    <xf numFmtId="0" fontId="64" fillId="0" borderId="0" xfId="0" applyFont="1" applyAlignment="1">
      <alignment vertical="center"/>
    </xf>
    <xf numFmtId="0" fontId="75" fillId="0" borderId="0" xfId="0" applyFont="1" applyAlignment="1" applyProtection="1">
      <alignment vertical="center"/>
      <protection locked="0"/>
    </xf>
    <xf numFmtId="0" fontId="75" fillId="0" borderId="0" xfId="0" applyFont="1" applyAlignment="1" applyProtection="1">
      <alignment vertical="center" wrapText="1"/>
      <protection locked="0"/>
    </xf>
    <xf numFmtId="0" fontId="39" fillId="0" borderId="0" xfId="0" applyFont="1" applyAlignment="1">
      <alignment horizontal="left" vertical="center"/>
    </xf>
    <xf numFmtId="0" fontId="75" fillId="0" borderId="0" xfId="0" applyFont="1" applyProtection="1">
      <protection locked="0"/>
    </xf>
    <xf numFmtId="0" fontId="75" fillId="0" borderId="0" xfId="0" applyFont="1"/>
    <xf numFmtId="0" fontId="71" fillId="32" borderId="95" xfId="0" applyFont="1" applyFill="1" applyBorder="1" applyAlignment="1">
      <alignment vertical="center"/>
    </xf>
    <xf numFmtId="0" fontId="75" fillId="32" borderId="95" xfId="0" applyFont="1" applyFill="1" applyBorder="1" applyAlignment="1">
      <alignment vertical="center"/>
    </xf>
    <xf numFmtId="3" fontId="73" fillId="8" borderId="93" xfId="0" applyNumberFormat="1" applyFont="1" applyFill="1" applyBorder="1" applyAlignment="1" applyProtection="1">
      <alignment horizontal="center" vertical="center"/>
      <protection locked="0"/>
    </xf>
    <xf numFmtId="0" fontId="61" fillId="32" borderId="95" xfId="0" applyFont="1" applyFill="1" applyBorder="1" applyAlignment="1">
      <alignment vertical="center"/>
    </xf>
    <xf numFmtId="0" fontId="48" fillId="0" borderId="0" xfId="0" applyFont="1" applyAlignment="1">
      <alignment horizontal="center" vertical="center" wrapText="1"/>
    </xf>
    <xf numFmtId="0" fontId="74" fillId="0" borderId="0" xfId="0" applyFont="1" applyAlignment="1">
      <alignment vertical="center"/>
    </xf>
    <xf numFmtId="3" fontId="14" fillId="23" borderId="51" xfId="0" applyNumberFormat="1" applyFont="1" applyFill="1" applyBorder="1" applyAlignment="1">
      <alignment horizontal="right" vertical="center" wrapText="1"/>
    </xf>
    <xf numFmtId="3" fontId="11" fillId="23" borderId="14" xfId="5" applyNumberFormat="1" applyFont="1" applyFill="1" applyBorder="1" applyAlignment="1" applyProtection="1">
      <alignment horizontal="right" vertical="center"/>
    </xf>
    <xf numFmtId="3" fontId="14" fillId="23" borderId="1" xfId="0" applyNumberFormat="1" applyFont="1" applyFill="1" applyBorder="1" applyAlignment="1">
      <alignment horizontal="right" vertical="center" wrapText="1"/>
    </xf>
    <xf numFmtId="0" fontId="0" fillId="13" borderId="42" xfId="0" applyFill="1" applyBorder="1" applyProtection="1">
      <protection hidden="1"/>
    </xf>
    <xf numFmtId="0" fontId="0" fillId="13" borderId="56" xfId="0" applyFill="1" applyBorder="1" applyProtection="1"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23" borderId="1" xfId="5" applyNumberFormat="1" applyFont="1" applyFill="1" applyBorder="1" applyAlignment="1" applyProtection="1">
      <alignment horizontal="right"/>
      <protection locked="0"/>
    </xf>
    <xf numFmtId="3" fontId="17" fillId="13" borderId="47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16" fillId="9" borderId="27" xfId="5" applyNumberFormat="1" applyFont="1" applyFill="1" applyBorder="1" applyAlignment="1" applyProtection="1">
      <alignment horizontal="center" vertical="center" wrapText="1"/>
      <protection hidden="1"/>
    </xf>
    <xf numFmtId="0" fontId="89" fillId="8" borderId="93" xfId="0" applyFont="1" applyFill="1" applyBorder="1" applyAlignment="1" applyProtection="1">
      <alignment horizontal="center" vertical="center"/>
      <protection locked="0"/>
    </xf>
    <xf numFmtId="1" fontId="15" fillId="8" borderId="9" xfId="5" applyNumberFormat="1" applyFont="1" applyFill="1" applyBorder="1" applyAlignment="1" applyProtection="1">
      <alignment horizontal="centerContinuous" vertical="center" wrapText="1"/>
      <protection hidden="1"/>
    </xf>
    <xf numFmtId="2" fontId="23" fillId="48" borderId="53" xfId="0" applyNumberFormat="1" applyFont="1" applyFill="1" applyBorder="1" applyAlignment="1" applyProtection="1">
      <alignment horizontal="center" vertical="center" wrapText="1"/>
      <protection hidden="1"/>
    </xf>
    <xf numFmtId="2" fontId="23" fillId="48" borderId="54" xfId="0" applyNumberFormat="1" applyFont="1" applyFill="1" applyBorder="1" applyAlignment="1" applyProtection="1">
      <alignment horizontal="center" vertical="center"/>
      <protection hidden="1"/>
    </xf>
    <xf numFmtId="0" fontId="23" fillId="48" borderId="54" xfId="0" applyFont="1" applyFill="1" applyBorder="1" applyAlignment="1" applyProtection="1">
      <alignment horizontal="center" vertical="center"/>
      <protection hidden="1"/>
    </xf>
    <xf numFmtId="0" fontId="23" fillId="48" borderId="55" xfId="0" applyFont="1" applyFill="1" applyBorder="1" applyAlignment="1" applyProtection="1">
      <alignment horizontal="center" vertical="center"/>
      <protection hidden="1"/>
    </xf>
    <xf numFmtId="0" fontId="34" fillId="48" borderId="0" xfId="0" applyFont="1" applyFill="1" applyAlignment="1" applyProtection="1">
      <alignment horizontal="center"/>
      <protection hidden="1"/>
    </xf>
    <xf numFmtId="4" fontId="23" fillId="48" borderId="1" xfId="0" applyNumberFormat="1" applyFont="1" applyFill="1" applyBorder="1" applyAlignment="1" applyProtection="1">
      <alignment horizontal="center"/>
      <protection hidden="1"/>
    </xf>
    <xf numFmtId="4" fontId="23" fillId="48" borderId="5" xfId="0" applyNumberFormat="1" applyFont="1" applyFill="1" applyBorder="1" applyAlignment="1" applyProtection="1">
      <alignment horizontal="center"/>
      <protection hidden="1"/>
    </xf>
    <xf numFmtId="10" fontId="23" fillId="48" borderId="5" xfId="0" applyNumberFormat="1" applyFont="1" applyFill="1" applyBorder="1" applyAlignment="1" applyProtection="1">
      <alignment horizontal="center"/>
      <protection hidden="1"/>
    </xf>
    <xf numFmtId="0" fontId="0" fillId="48" borderId="0" xfId="0" applyFill="1" applyAlignment="1" applyProtection="1">
      <alignment wrapText="1"/>
      <protection hidden="1"/>
    </xf>
    <xf numFmtId="3" fontId="0" fillId="48" borderId="0" xfId="0" applyNumberFormat="1" applyFill="1" applyProtection="1">
      <protection hidden="1"/>
    </xf>
    <xf numFmtId="0" fontId="53" fillId="48" borderId="1" xfId="0" applyFont="1" applyFill="1" applyBorder="1" applyAlignment="1" applyProtection="1">
      <alignment horizontal="center" wrapText="1"/>
      <protection hidden="1"/>
    </xf>
    <xf numFmtId="4" fontId="21" fillId="48" borderId="0" xfId="0" applyNumberFormat="1" applyFont="1" applyFill="1" applyProtection="1">
      <protection hidden="1"/>
    </xf>
    <xf numFmtId="14" fontId="25" fillId="48" borderId="2" xfId="0" applyNumberFormat="1" applyFont="1" applyFill="1" applyBorder="1" applyAlignment="1" applyProtection="1">
      <alignment horizontal="center"/>
      <protection hidden="1"/>
    </xf>
    <xf numFmtId="14" fontId="25" fillId="48" borderId="42" xfId="0" applyNumberFormat="1" applyFont="1" applyFill="1" applyBorder="1" applyAlignment="1" applyProtection="1">
      <alignment horizontal="center"/>
      <protection hidden="1"/>
    </xf>
    <xf numFmtId="0" fontId="24" fillId="48" borderId="42" xfId="0" applyFont="1" applyFill="1" applyBorder="1" applyAlignment="1" applyProtection="1">
      <alignment horizontal="center"/>
      <protection hidden="1"/>
    </xf>
    <xf numFmtId="0" fontId="24" fillId="48" borderId="56" xfId="0" applyFont="1" applyFill="1" applyBorder="1" applyAlignment="1" applyProtection="1">
      <alignment horizontal="center"/>
      <protection hidden="1"/>
    </xf>
    <xf numFmtId="0" fontId="24" fillId="48" borderId="1" xfId="0" applyFont="1" applyFill="1" applyBorder="1" applyAlignment="1" applyProtection="1">
      <alignment horizontal="center" wrapText="1"/>
      <protection hidden="1"/>
    </xf>
    <xf numFmtId="0" fontId="0" fillId="48" borderId="0" xfId="0" applyFill="1" applyProtection="1">
      <protection hidden="1"/>
    </xf>
    <xf numFmtId="14" fontId="5" fillId="48" borderId="1" xfId="0" applyNumberFormat="1" applyFont="1" applyFill="1" applyBorder="1" applyAlignment="1" applyProtection="1">
      <alignment horizontal="center"/>
      <protection hidden="1"/>
    </xf>
    <xf numFmtId="2" fontId="5" fillId="48" borderId="1" xfId="0" applyNumberFormat="1" applyFont="1" applyFill="1" applyBorder="1" applyAlignment="1" applyProtection="1">
      <alignment horizontal="center"/>
      <protection hidden="1"/>
    </xf>
    <xf numFmtId="4" fontId="5" fillId="48" borderId="1" xfId="0" applyNumberFormat="1" applyFont="1" applyFill="1" applyBorder="1" applyAlignment="1" applyProtection="1">
      <alignment horizontal="center"/>
      <protection hidden="1"/>
    </xf>
    <xf numFmtId="0" fontId="0" fillId="48" borderId="1" xfId="0" applyFill="1" applyBorder="1" applyAlignment="1" applyProtection="1">
      <alignment horizontal="center"/>
      <protection hidden="1"/>
    </xf>
    <xf numFmtId="4" fontId="0" fillId="48" borderId="0" xfId="0" applyNumberFormat="1" applyFill="1" applyProtection="1">
      <protection hidden="1"/>
    </xf>
    <xf numFmtId="1" fontId="0" fillId="48" borderId="1" xfId="0" applyNumberFormat="1" applyFill="1" applyBorder="1" applyAlignment="1" applyProtection="1">
      <alignment horizontal="center"/>
      <protection hidden="1"/>
    </xf>
    <xf numFmtId="4" fontId="0" fillId="48" borderId="1" xfId="0" applyNumberFormat="1" applyFill="1" applyBorder="1" applyProtection="1">
      <protection hidden="1"/>
    </xf>
    <xf numFmtId="4" fontId="0" fillId="48" borderId="1" xfId="0" applyNumberFormat="1" applyFill="1" applyBorder="1" applyAlignment="1" applyProtection="1">
      <alignment horizontal="center"/>
      <protection hidden="1"/>
    </xf>
    <xf numFmtId="2" fontId="24" fillId="48" borderId="13" xfId="0" applyNumberFormat="1" applyFont="1" applyFill="1" applyBorder="1" applyAlignment="1" applyProtection="1">
      <alignment horizontal="center"/>
      <protection hidden="1"/>
    </xf>
    <xf numFmtId="2" fontId="4" fillId="48" borderId="13" xfId="0" applyNumberFormat="1" applyFont="1" applyFill="1" applyBorder="1" applyAlignment="1" applyProtection="1">
      <alignment horizontal="center"/>
      <protection hidden="1"/>
    </xf>
    <xf numFmtId="1" fontId="0" fillId="48" borderId="4" xfId="0" applyNumberFormat="1" applyFill="1" applyBorder="1" applyAlignment="1" applyProtection="1">
      <alignment horizontal="center"/>
      <protection hidden="1"/>
    </xf>
    <xf numFmtId="4" fontId="0" fillId="48" borderId="4" xfId="0" applyNumberFormat="1" applyFill="1" applyBorder="1" applyAlignment="1" applyProtection="1">
      <alignment horizontal="center"/>
      <protection hidden="1"/>
    </xf>
    <xf numFmtId="4" fontId="0" fillId="48" borderId="4" xfId="0" applyNumberFormat="1" applyFill="1" applyBorder="1" applyProtection="1">
      <protection hidden="1"/>
    </xf>
    <xf numFmtId="14" fontId="0" fillId="33" borderId="4" xfId="0" applyNumberFormat="1" applyFill="1" applyBorder="1" applyAlignment="1" applyProtection="1">
      <alignment horizontal="center"/>
      <protection hidden="1"/>
    </xf>
    <xf numFmtId="2" fontId="0" fillId="33" borderId="4" xfId="0" applyNumberFormat="1" applyFill="1" applyBorder="1" applyAlignment="1" applyProtection="1">
      <alignment horizontal="center"/>
      <protection hidden="1"/>
    </xf>
    <xf numFmtId="0" fontId="0" fillId="33" borderId="4" xfId="0" applyFill="1" applyBorder="1" applyAlignment="1" applyProtection="1">
      <alignment horizontal="center"/>
      <protection hidden="1"/>
    </xf>
    <xf numFmtId="0" fontId="24" fillId="33" borderId="4" xfId="0" applyFont="1" applyFill="1" applyBorder="1" applyAlignment="1" applyProtection="1">
      <alignment horizontal="center" wrapText="1"/>
      <protection hidden="1"/>
    </xf>
    <xf numFmtId="0" fontId="11" fillId="33" borderId="74" xfId="0" applyFont="1" applyFill="1" applyBorder="1" applyProtection="1">
      <protection hidden="1"/>
    </xf>
    <xf numFmtId="2" fontId="11" fillId="33" borderId="0" xfId="0" applyNumberFormat="1" applyFont="1" applyFill="1" applyProtection="1">
      <protection hidden="1"/>
    </xf>
    <xf numFmtId="0" fontId="11" fillId="33" borderId="75" xfId="0" applyFont="1" applyFill="1" applyBorder="1" applyProtection="1">
      <protection hidden="1"/>
    </xf>
    <xf numFmtId="0" fontId="40" fillId="48" borderId="1" xfId="0" applyFont="1" applyFill="1" applyBorder="1" applyProtection="1">
      <protection hidden="1"/>
    </xf>
    <xf numFmtId="3" fontId="40" fillId="48" borderId="1" xfId="0" applyNumberFormat="1" applyFont="1" applyFill="1" applyBorder="1" applyProtection="1">
      <protection hidden="1"/>
    </xf>
    <xf numFmtId="3" fontId="21" fillId="48" borderId="1" xfId="0" applyNumberFormat="1" applyFont="1" applyFill="1" applyBorder="1" applyAlignment="1" applyProtection="1">
      <alignment horizontal="left" wrapText="1"/>
      <protection hidden="1"/>
    </xf>
    <xf numFmtId="3" fontId="21" fillId="48" borderId="1" xfId="0" applyNumberFormat="1" applyFont="1" applyFill="1" applyBorder="1" applyProtection="1">
      <protection hidden="1"/>
    </xf>
    <xf numFmtId="3" fontId="1" fillId="48" borderId="1" xfId="0" applyNumberFormat="1" applyFont="1" applyFill="1" applyBorder="1" applyProtection="1">
      <protection hidden="1"/>
    </xf>
    <xf numFmtId="3" fontId="9" fillId="48" borderId="1" xfId="0" applyNumberFormat="1" applyFont="1" applyFill="1" applyBorder="1" applyProtection="1">
      <protection hidden="1"/>
    </xf>
    <xf numFmtId="9" fontId="30" fillId="48" borderId="1" xfId="1" applyFont="1" applyFill="1" applyBorder="1" applyProtection="1">
      <protection hidden="1"/>
    </xf>
    <xf numFmtId="0" fontId="14" fillId="48" borderId="2" xfId="0" applyFont="1" applyFill="1" applyBorder="1" applyProtection="1">
      <protection hidden="1"/>
    </xf>
    <xf numFmtId="169" fontId="21" fillId="48" borderId="1" xfId="0" applyNumberFormat="1" applyFont="1" applyFill="1" applyBorder="1" applyAlignment="1" applyProtection="1">
      <alignment horizontal="center"/>
      <protection hidden="1"/>
    </xf>
    <xf numFmtId="3" fontId="21" fillId="48" borderId="56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0" fontId="11" fillId="48" borderId="2" xfId="0" applyFont="1" applyFill="1" applyBorder="1" applyProtection="1">
      <protection hidden="1"/>
    </xf>
    <xf numFmtId="0" fontId="11" fillId="48" borderId="56" xfId="0" applyFont="1" applyFill="1" applyBorder="1" applyProtection="1">
      <protection hidden="1"/>
    </xf>
    <xf numFmtId="0" fontId="11" fillId="48" borderId="72" xfId="0" applyFont="1" applyFill="1" applyBorder="1" applyProtection="1">
      <protection hidden="1"/>
    </xf>
    <xf numFmtId="0" fontId="11" fillId="48" borderId="73" xfId="0" applyFont="1" applyFill="1" applyBorder="1" applyProtection="1">
      <protection hidden="1"/>
    </xf>
    <xf numFmtId="0" fontId="34" fillId="48" borderId="10" xfId="0" applyFont="1" applyFill="1" applyBorder="1" applyAlignment="1" applyProtection="1">
      <alignment vertical="center"/>
      <protection hidden="1"/>
    </xf>
    <xf numFmtId="0" fontId="34" fillId="48" borderId="8" xfId="0" applyFont="1" applyFill="1" applyBorder="1" applyAlignment="1" applyProtection="1">
      <alignment horizontal="left" vertical="center" wrapText="1"/>
      <protection hidden="1"/>
    </xf>
    <xf numFmtId="3" fontId="34" fillId="49" borderId="9" xfId="5" applyNumberFormat="1" applyFont="1" applyFill="1" applyBorder="1" applyAlignment="1" applyProtection="1">
      <alignment horizontal="right" vertical="center"/>
      <protection hidden="1"/>
    </xf>
    <xf numFmtId="3" fontId="34" fillId="49" borderId="10" xfId="5" applyNumberFormat="1" applyFont="1" applyFill="1" applyBorder="1" applyAlignment="1" applyProtection="1">
      <alignment horizontal="right" vertical="center"/>
      <protection hidden="1"/>
    </xf>
    <xf numFmtId="9" fontId="11" fillId="16" borderId="97" xfId="6" applyNumberFormat="1" applyFont="1" applyFill="1" applyBorder="1" applyProtection="1">
      <protection locked="0"/>
    </xf>
    <xf numFmtId="0" fontId="0" fillId="16" borderId="97" xfId="0" applyFill="1" applyBorder="1" applyProtection="1">
      <protection locked="0"/>
    </xf>
    <xf numFmtId="164" fontId="14" fillId="48" borderId="2" xfId="5" applyFont="1" applyFill="1" applyBorder="1" applyAlignment="1" applyProtection="1">
      <alignment horizontal="left" vertical="center"/>
      <protection hidden="1"/>
    </xf>
    <xf numFmtId="164" fontId="16" fillId="48" borderId="1" xfId="5" applyFont="1" applyFill="1" applyBorder="1" applyAlignment="1" applyProtection="1">
      <alignment vertical="center" wrapText="1"/>
      <protection hidden="1"/>
    </xf>
    <xf numFmtId="167" fontId="14" fillId="48" borderId="1" xfId="5" applyNumberFormat="1" applyFont="1" applyFill="1" applyBorder="1" applyAlignment="1" applyProtection="1">
      <alignment horizontal="right" vertical="center"/>
      <protection hidden="1"/>
    </xf>
    <xf numFmtId="169" fontId="14" fillId="48" borderId="1" xfId="5" applyNumberFormat="1" applyFont="1" applyFill="1" applyBorder="1" applyAlignment="1" applyProtection="1">
      <alignment horizontal="right" vertical="center"/>
      <protection hidden="1"/>
    </xf>
    <xf numFmtId="167" fontId="14" fillId="48" borderId="2" xfId="5" applyNumberFormat="1" applyFont="1" applyFill="1" applyBorder="1" applyAlignment="1" applyProtection="1">
      <alignment horizontal="right" vertical="center"/>
      <protection hidden="1"/>
    </xf>
    <xf numFmtId="0" fontId="48" fillId="48" borderId="0" xfId="0" applyFont="1" applyFill="1" applyProtection="1">
      <protection hidden="1"/>
    </xf>
    <xf numFmtId="0" fontId="75" fillId="0" borderId="0" xfId="0" applyFont="1" applyAlignment="1">
      <alignment horizontal="left" vertical="top"/>
    </xf>
    <xf numFmtId="0" fontId="79" fillId="0" borderId="0" xfId="0" applyFont="1" applyAlignment="1">
      <alignment horizontal="left" vertical="top" wrapText="1"/>
    </xf>
    <xf numFmtId="0" fontId="75" fillId="0" borderId="7" xfId="0" applyFont="1" applyBorder="1" applyAlignment="1" applyProtection="1">
      <alignment horizontal="center" vertical="center"/>
      <protection locked="0"/>
    </xf>
    <xf numFmtId="0" fontId="75" fillId="0" borderId="28" xfId="0" applyFont="1" applyBorder="1" applyAlignment="1" applyProtection="1">
      <alignment horizontal="center" vertical="center"/>
      <protection locked="0"/>
    </xf>
    <xf numFmtId="0" fontId="64" fillId="47" borderId="7" xfId="0" applyFont="1" applyFill="1" applyBorder="1" applyAlignment="1">
      <alignment horizontal="center" vertical="center"/>
    </xf>
    <xf numFmtId="0" fontId="64" fillId="47" borderId="28" xfId="0" applyFont="1" applyFill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60" fillId="29" borderId="94" xfId="0" applyFont="1" applyFill="1" applyBorder="1" applyAlignment="1">
      <alignment vertical="center"/>
    </xf>
    <xf numFmtId="0" fontId="60" fillId="29" borderId="95" xfId="0" applyFont="1" applyFill="1" applyBorder="1" applyAlignment="1">
      <alignment vertical="center"/>
    </xf>
    <xf numFmtId="0" fontId="39" fillId="0" borderId="0" xfId="0" applyFont="1" applyAlignment="1">
      <alignment horizontal="left" vertical="top" wrapText="1"/>
    </xf>
    <xf numFmtId="0" fontId="85" fillId="0" borderId="0" xfId="0" applyFont="1" applyAlignment="1">
      <alignment horizontal="left" vertical="top" wrapText="1"/>
    </xf>
    <xf numFmtId="0" fontId="68" fillId="29" borderId="94" xfId="0" applyFont="1" applyFill="1" applyBorder="1" applyAlignment="1">
      <alignment horizontal="center" vertical="center" wrapText="1"/>
    </xf>
    <xf numFmtId="0" fontId="68" fillId="29" borderId="95" xfId="0" applyFont="1" applyFill="1" applyBorder="1" applyAlignment="1">
      <alignment horizontal="center" vertical="center" wrapText="1"/>
    </xf>
    <xf numFmtId="0" fontId="72" fillId="29" borderId="96" xfId="0" applyFont="1" applyFill="1" applyBorder="1" applyAlignment="1">
      <alignment horizontal="center" vertical="center" wrapText="1"/>
    </xf>
    <xf numFmtId="0" fontId="72" fillId="29" borderId="90" xfId="0" applyFont="1" applyFill="1" applyBorder="1" applyAlignment="1">
      <alignment horizontal="center" vertical="center" wrapText="1"/>
    </xf>
    <xf numFmtId="0" fontId="72" fillId="29" borderId="22" xfId="0" applyFont="1" applyFill="1" applyBorder="1" applyAlignment="1">
      <alignment horizontal="center" vertical="center" wrapText="1"/>
    </xf>
    <xf numFmtId="0" fontId="72" fillId="29" borderId="93" xfId="0" applyFont="1" applyFill="1" applyBorder="1" applyAlignment="1">
      <alignment horizontal="center" vertical="center" wrapText="1"/>
    </xf>
    <xf numFmtId="0" fontId="60" fillId="29" borderId="94" xfId="0" applyFont="1" applyFill="1" applyBorder="1" applyAlignment="1">
      <alignment horizontal="center" vertical="center" wrapText="1"/>
    </xf>
    <xf numFmtId="0" fontId="60" fillId="29" borderId="95" xfId="0" applyFont="1" applyFill="1" applyBorder="1" applyAlignment="1">
      <alignment horizontal="center" vertical="center" wrapText="1"/>
    </xf>
    <xf numFmtId="0" fontId="72" fillId="29" borderId="96" xfId="0" applyFont="1" applyFill="1" applyBorder="1" applyAlignment="1">
      <alignment horizontal="left" vertical="top" wrapText="1"/>
    </xf>
    <xf numFmtId="0" fontId="72" fillId="29" borderId="90" xfId="0" applyFont="1" applyFill="1" applyBorder="1" applyAlignment="1">
      <alignment horizontal="left" vertical="top" wrapText="1"/>
    </xf>
    <xf numFmtId="0" fontId="75" fillId="32" borderId="96" xfId="0" applyFont="1" applyFill="1" applyBorder="1" applyAlignment="1" applyProtection="1">
      <alignment horizontal="left" vertical="top" wrapText="1"/>
      <protection locked="0"/>
    </xf>
    <xf numFmtId="0" fontId="75" fillId="32" borderId="89" xfId="0" applyFont="1" applyFill="1" applyBorder="1" applyAlignment="1" applyProtection="1">
      <alignment horizontal="left" vertical="top" wrapText="1"/>
      <protection locked="0"/>
    </xf>
    <xf numFmtId="0" fontId="75" fillId="32" borderId="90" xfId="0" applyFont="1" applyFill="1" applyBorder="1" applyAlignment="1" applyProtection="1">
      <alignment horizontal="left" vertical="top" wrapText="1"/>
      <protection locked="0"/>
    </xf>
    <xf numFmtId="0" fontId="75" fillId="32" borderId="22" xfId="0" applyFont="1" applyFill="1" applyBorder="1" applyAlignment="1" applyProtection="1">
      <alignment horizontal="left" vertical="top" wrapText="1"/>
      <protection locked="0"/>
    </xf>
    <xf numFmtId="0" fontId="75" fillId="32" borderId="23" xfId="0" applyFont="1" applyFill="1" applyBorder="1" applyAlignment="1" applyProtection="1">
      <alignment horizontal="left" vertical="top" wrapText="1"/>
      <protection locked="0"/>
    </xf>
    <xf numFmtId="0" fontId="75" fillId="32" borderId="93" xfId="0" applyFont="1" applyFill="1" applyBorder="1" applyAlignment="1" applyProtection="1">
      <alignment horizontal="left" vertical="top" wrapText="1"/>
      <protection locked="0"/>
    </xf>
    <xf numFmtId="0" fontId="65" fillId="0" borderId="0" xfId="0" applyFont="1" applyAlignment="1">
      <alignment horizontal="left" vertical="center" wrapText="1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0" fillId="29" borderId="94" xfId="0" applyFont="1" applyFill="1" applyBorder="1" applyAlignment="1">
      <alignment horizontal="center" vertical="center"/>
    </xf>
    <xf numFmtId="0" fontId="60" fillId="29" borderId="95" xfId="0" applyFont="1" applyFill="1" applyBorder="1" applyAlignment="1">
      <alignment horizontal="center" vertical="center"/>
    </xf>
    <xf numFmtId="0" fontId="31" fillId="33" borderId="47" xfId="0" applyFont="1" applyFill="1" applyBorder="1" applyAlignment="1" applyProtection="1">
      <alignment horizontal="center"/>
      <protection hidden="1"/>
    </xf>
    <xf numFmtId="166" fontId="10" fillId="36" borderId="2" xfId="0" applyNumberFormat="1" applyFont="1" applyFill="1" applyBorder="1" applyAlignment="1" applyProtection="1">
      <alignment horizontal="center"/>
      <protection hidden="1"/>
    </xf>
    <xf numFmtId="166" fontId="10" fillId="36" borderId="56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56" xfId="3" applyFont="1" applyFill="1" applyBorder="1" applyAlignment="1" applyProtection="1">
      <alignment horizontal="center" wrapText="1"/>
      <protection hidden="1"/>
    </xf>
    <xf numFmtId="0" fontId="55" fillId="0" borderId="0" xfId="0" applyFont="1" applyAlignment="1">
      <alignment horizontal="center" vertical="center" wrapText="1"/>
    </xf>
    <xf numFmtId="0" fontId="55" fillId="0" borderId="47" xfId="0" applyFont="1" applyBorder="1" applyAlignment="1">
      <alignment horizontal="center" vertical="center" wrapText="1"/>
    </xf>
    <xf numFmtId="0" fontId="0" fillId="36" borderId="2" xfId="0" applyFill="1" applyBorder="1" applyAlignment="1" applyProtection="1">
      <alignment horizontal="center" wrapText="1"/>
      <protection hidden="1"/>
    </xf>
    <xf numFmtId="0" fontId="0" fillId="36" borderId="42" xfId="0" applyFill="1" applyBorder="1" applyAlignment="1" applyProtection="1">
      <alignment horizontal="center" wrapText="1"/>
      <protection hidden="1"/>
    </xf>
    <xf numFmtId="0" fontId="0" fillId="36" borderId="56" xfId="0" applyFill="1" applyBorder="1" applyAlignment="1" applyProtection="1">
      <alignment horizontal="center" wrapText="1"/>
      <protection hidden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56" xfId="0" applyFont="1" applyBorder="1" applyAlignment="1" applyProtection="1">
      <alignment horizontal="left" vertical="center"/>
      <protection hidden="1"/>
    </xf>
    <xf numFmtId="4" fontId="30" fillId="39" borderId="4" xfId="0" applyNumberFormat="1" applyFont="1" applyFill="1" applyBorder="1" applyAlignment="1" applyProtection="1">
      <alignment horizontal="center"/>
      <protection hidden="1"/>
    </xf>
    <xf numFmtId="4" fontId="30" fillId="39" borderId="84" xfId="0" applyNumberFormat="1" applyFont="1" applyFill="1" applyBorder="1" applyAlignment="1" applyProtection="1">
      <alignment horizontal="center"/>
      <protection hidden="1"/>
    </xf>
    <xf numFmtId="4" fontId="30" fillId="39" borderId="5" xfId="0" applyNumberFormat="1" applyFont="1" applyFill="1" applyBorder="1" applyAlignment="1" applyProtection="1">
      <alignment horizontal="center"/>
      <protection hidden="1"/>
    </xf>
    <xf numFmtId="0" fontId="54" fillId="8" borderId="0" xfId="0" applyFont="1" applyFill="1" applyAlignment="1">
      <alignment horizontal="left" vertical="top" wrapText="1"/>
    </xf>
    <xf numFmtId="0" fontId="54" fillId="8" borderId="0" xfId="0" applyFont="1" applyFill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49" xfId="0" applyFont="1" applyBorder="1" applyAlignment="1">
      <alignment horizontal="left" vertical="center" wrapText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23" fillId="48" borderId="7" xfId="0" applyFont="1" applyFill="1" applyBorder="1" applyAlignment="1" applyProtection="1">
      <alignment horizontal="center" vertical="center"/>
      <protection hidden="1"/>
    </xf>
    <xf numFmtId="0" fontId="23" fillId="48" borderId="28" xfId="0" applyFont="1" applyFill="1" applyBorder="1" applyAlignment="1" applyProtection="1">
      <alignment horizontal="center" vertic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544302</xdr:colOff>
      <xdr:row>12</xdr:row>
      <xdr:rowOff>161924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7E3BCC3C-CF85-4178-A214-2C6E993A1B25}"/>
            </a:ext>
          </a:extLst>
        </xdr:cNvPr>
        <xdr:cNvSpPr/>
      </xdr:nvSpPr>
      <xdr:spPr>
        <a:xfrm>
          <a:off x="7390482" y="2880452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6</xdr:col>
      <xdr:colOff>544302</xdr:colOff>
      <xdr:row>15</xdr:row>
      <xdr:rowOff>161924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F9489E48-5E45-4FB9-9DF3-5FA8FF7224C1}"/>
            </a:ext>
          </a:extLst>
        </xdr:cNvPr>
        <xdr:cNvSpPr/>
      </xdr:nvSpPr>
      <xdr:spPr>
        <a:xfrm>
          <a:off x="7390482" y="3591958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544302</xdr:colOff>
      <xdr:row>18</xdr:row>
      <xdr:rowOff>161924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8766EA67-CDBC-4C88-9E55-5C6E0035D9B0}"/>
            </a:ext>
          </a:extLst>
        </xdr:cNvPr>
        <xdr:cNvSpPr/>
      </xdr:nvSpPr>
      <xdr:spPr>
        <a:xfrm>
          <a:off x="7390482" y="4360843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25</xdr:row>
      <xdr:rowOff>195090</xdr:rowOff>
    </xdr:from>
    <xdr:to>
      <xdr:col>6</xdr:col>
      <xdr:colOff>544302</xdr:colOff>
      <xdr:row>25</xdr:row>
      <xdr:rowOff>357014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B6FB1E92-86F9-430E-89D4-B5604315303C}"/>
            </a:ext>
          </a:extLst>
        </xdr:cNvPr>
        <xdr:cNvSpPr/>
      </xdr:nvSpPr>
      <xdr:spPr>
        <a:xfrm>
          <a:off x="7390482" y="6426506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38100</xdr:colOff>
      <xdr:row>24</xdr:row>
      <xdr:rowOff>200025</xdr:rowOff>
    </xdr:from>
    <xdr:to>
      <xdr:col>6</xdr:col>
      <xdr:colOff>582402</xdr:colOff>
      <xdr:row>24</xdr:row>
      <xdr:rowOff>361949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C2E7CCE0-B43B-4A46-9886-FB05F5290844}"/>
            </a:ext>
          </a:extLst>
        </xdr:cNvPr>
        <xdr:cNvSpPr/>
      </xdr:nvSpPr>
      <xdr:spPr>
        <a:xfrm>
          <a:off x="8448675" y="6143625"/>
          <a:ext cx="1153902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H1" t="str">
            <v>Rachunek zysków i strat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7">
          <cell r="H7" t="str">
            <v>Przychody netto ze sprzedaży produktów, towarów i materiałów, w tym: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  <cell r="K11" t="str">
            <v>Straty nadzwyczajne</v>
          </cell>
        </row>
        <row r="12">
          <cell r="H12" t="str">
            <v>Przychody netto ze sprzedaży towarów i materiałów.</v>
          </cell>
          <cell r="K12" t="str">
            <v>Wzrost(-) lub spadek (+) stanu należności</v>
          </cell>
        </row>
        <row r="13">
          <cell r="B13" t="str">
            <v>Środki trwałe</v>
          </cell>
          <cell r="H13" t="str">
            <v>Koszty działalności operacyjnej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H14" t="str">
            <v>Amortyzacja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H15" t="str">
            <v>Zużycie materiałów i energii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H16" t="str">
            <v>Usługi obce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H17" t="str">
            <v>Podatki i opłaty, w tym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H19" t="str">
            <v>Wynagrodzenia</v>
          </cell>
          <cell r="K19" t="str">
            <v>Podatek dochodowy (-)</v>
          </cell>
        </row>
        <row r="20">
          <cell r="H20" t="str">
            <v>Ubezpieczenia społeczne i inne świadczenia</v>
          </cell>
          <cell r="K20" t="str">
            <v>Inne</v>
          </cell>
        </row>
        <row r="21">
          <cell r="H21" t="str">
            <v>Pozostałe koszty rodzajowe</v>
          </cell>
          <cell r="K21" t="str">
            <v>Przepływy działalności operacyjnej (I-II)</v>
          </cell>
        </row>
        <row r="22">
          <cell r="H22" t="str">
            <v>Wartość sprzedanych towarów i materiałów</v>
          </cell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H25" t="str">
            <v xml:space="preserve">Zysk ze zbycia niefinansowych aktywów trwałych </v>
          </cell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H41" t="str">
            <v>Koszty finansowe</v>
          </cell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6">
          <cell r="H46" t="str">
            <v>Inne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0">
          <cell r="H50" t="str">
            <v>Straty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1570-661F-4EE3-9428-E165FC4A6F99}">
  <dimension ref="A2:H86"/>
  <sheetViews>
    <sheetView showGridLines="0" tabSelected="1" view="pageBreakPreview" zoomScaleNormal="100" zoomScaleSheetLayoutView="100" workbookViewId="0">
      <selection activeCell="A10" sqref="A10:E10"/>
    </sheetView>
  </sheetViews>
  <sheetFormatPr defaultRowHeight="15" x14ac:dyDescent="0.25"/>
  <cols>
    <col min="1" max="1" width="68.28515625" customWidth="1"/>
    <col min="2" max="2" width="14.28515625" customWidth="1"/>
    <col min="3" max="3" width="13.5703125" customWidth="1"/>
    <col min="4" max="4" width="15.42578125" customWidth="1"/>
    <col min="5" max="5" width="14.5703125" customWidth="1"/>
  </cols>
  <sheetData>
    <row r="2" spans="1:8" ht="18.75" x14ac:dyDescent="0.25">
      <c r="A2" s="691" t="s">
        <v>430</v>
      </c>
      <c r="B2" s="691"/>
      <c r="C2" s="691"/>
      <c r="D2" s="691"/>
      <c r="E2" s="691"/>
    </row>
    <row r="3" spans="1:8" ht="18.75" x14ac:dyDescent="0.25">
      <c r="A3" s="691" t="s">
        <v>431</v>
      </c>
      <c r="B3" s="691"/>
      <c r="C3" s="691"/>
      <c r="D3" s="691"/>
      <c r="E3" s="691"/>
    </row>
    <row r="4" spans="1:8" ht="15.75" x14ac:dyDescent="0.25">
      <c r="A4" s="692" t="s">
        <v>432</v>
      </c>
      <c r="B4" s="692"/>
      <c r="C4" s="692"/>
      <c r="D4" s="692"/>
      <c r="E4" s="692"/>
    </row>
    <row r="5" spans="1:8" ht="15.75" x14ac:dyDescent="0.25">
      <c r="A5" s="543"/>
      <c r="B5" s="543"/>
      <c r="C5" s="543"/>
      <c r="D5" s="543"/>
      <c r="E5" s="543"/>
    </row>
    <row r="6" spans="1:8" ht="18.75" x14ac:dyDescent="0.25">
      <c r="A6" s="691"/>
      <c r="B6" s="691"/>
      <c r="C6" s="691"/>
      <c r="D6" s="691"/>
      <c r="E6" s="691"/>
    </row>
    <row r="7" spans="1:8" x14ac:dyDescent="0.25">
      <c r="A7" s="544"/>
      <c r="B7" s="542"/>
      <c r="C7" s="542"/>
      <c r="D7" s="542"/>
      <c r="E7" s="542"/>
    </row>
    <row r="8" spans="1:8" ht="7.5" customHeight="1" x14ac:dyDescent="0.25">
      <c r="A8" s="545"/>
      <c r="B8" s="542"/>
      <c r="C8" s="542"/>
      <c r="D8" s="542"/>
      <c r="E8" s="542"/>
    </row>
    <row r="9" spans="1:8" ht="18.75" x14ac:dyDescent="0.25">
      <c r="A9" s="574" t="s">
        <v>481</v>
      </c>
      <c r="B9" s="542"/>
      <c r="C9" s="542"/>
      <c r="D9" s="542"/>
      <c r="E9" s="542"/>
    </row>
    <row r="10" spans="1:8" ht="27.75" customHeight="1" x14ac:dyDescent="0.25">
      <c r="A10" s="690" t="s">
        <v>477</v>
      </c>
      <c r="B10" s="690"/>
      <c r="C10" s="690"/>
      <c r="D10" s="690"/>
      <c r="E10" s="690"/>
    </row>
    <row r="11" spans="1:8" ht="15.75" thickBot="1" x14ac:dyDescent="0.3"/>
    <row r="12" spans="1:8" ht="18.75" x14ac:dyDescent="0.25">
      <c r="A12" s="693" t="s">
        <v>433</v>
      </c>
      <c r="B12" s="546" t="s">
        <v>13</v>
      </c>
      <c r="C12" s="547" t="s">
        <v>63</v>
      </c>
      <c r="D12" s="546" t="s">
        <v>434</v>
      </c>
      <c r="E12" s="546" t="s">
        <v>64</v>
      </c>
    </row>
    <row r="13" spans="1:8" ht="15.75" thickBot="1" x14ac:dyDescent="0.3">
      <c r="A13" s="694"/>
      <c r="B13" s="593">
        <v>2023</v>
      </c>
      <c r="C13" s="554">
        <f>B13+1</f>
        <v>2024</v>
      </c>
      <c r="D13" s="554">
        <f t="shared" ref="D13:E13" si="0">C13+1</f>
        <v>2025</v>
      </c>
      <c r="E13" s="554">
        <f t="shared" si="0"/>
        <v>2026</v>
      </c>
      <c r="H13" s="565" t="s">
        <v>476</v>
      </c>
    </row>
    <row r="14" spans="1:8" ht="30" customHeight="1" thickBot="1" x14ac:dyDescent="0.3">
      <c r="A14" s="548" t="s">
        <v>435</v>
      </c>
      <c r="B14" s="549">
        <f>B15</f>
        <v>0</v>
      </c>
      <c r="C14" s="549">
        <f>C15+C16</f>
        <v>0</v>
      </c>
      <c r="D14" s="549">
        <f t="shared" ref="D14:E14" si="1">D15+D16</f>
        <v>0</v>
      </c>
      <c r="E14" s="549">
        <f t="shared" si="1"/>
        <v>0</v>
      </c>
    </row>
    <row r="15" spans="1:8" ht="21.75" customHeight="1" thickBot="1" x14ac:dyDescent="0.3">
      <c r="A15" s="577" t="s">
        <v>470</v>
      </c>
      <c r="B15" s="551"/>
      <c r="C15" s="551"/>
      <c r="D15" s="551"/>
      <c r="E15" s="551"/>
    </row>
    <row r="16" spans="1:8" ht="23.25" hidden="1" customHeight="1" thickBot="1" x14ac:dyDescent="0.3">
      <c r="A16" s="577" t="s">
        <v>469</v>
      </c>
      <c r="B16" s="552"/>
      <c r="C16" s="551"/>
      <c r="D16" s="551"/>
      <c r="E16" s="551"/>
      <c r="H16" s="565" t="s">
        <v>475</v>
      </c>
    </row>
    <row r="17" spans="1:8" ht="27.75" customHeight="1" thickBot="1" x14ac:dyDescent="0.3">
      <c r="A17" s="548" t="s">
        <v>436</v>
      </c>
      <c r="B17" s="549">
        <f>B18+B19</f>
        <v>0</v>
      </c>
      <c r="C17" s="549">
        <f>C18+C19</f>
        <v>0</v>
      </c>
      <c r="D17" s="549">
        <f t="shared" ref="D17:E17" si="2">D18+D19</f>
        <v>0</v>
      </c>
      <c r="E17" s="549">
        <f t="shared" si="2"/>
        <v>0</v>
      </c>
    </row>
    <row r="18" spans="1:8" ht="23.25" customHeight="1" thickBot="1" x14ac:dyDescent="0.3">
      <c r="A18" s="550" t="s">
        <v>471</v>
      </c>
      <c r="B18" s="553"/>
      <c r="C18" s="551"/>
      <c r="D18" s="551"/>
      <c r="E18" s="551"/>
    </row>
    <row r="19" spans="1:8" ht="24.75" hidden="1" customHeight="1" thickBot="1" x14ac:dyDescent="0.3">
      <c r="A19" s="550" t="s">
        <v>437</v>
      </c>
      <c r="B19" s="552"/>
      <c r="C19" s="551"/>
      <c r="D19" s="551"/>
      <c r="E19" s="551"/>
      <c r="H19" s="565" t="s">
        <v>475</v>
      </c>
    </row>
    <row r="21" spans="1:8" ht="15.75" thickBot="1" x14ac:dyDescent="0.3"/>
    <row r="22" spans="1:8" ht="18.75" x14ac:dyDescent="0.25">
      <c r="A22" s="680" t="s">
        <v>438</v>
      </c>
      <c r="B22" s="546" t="s">
        <v>13</v>
      </c>
      <c r="C22" s="547" t="s">
        <v>63</v>
      </c>
      <c r="D22" s="546" t="s">
        <v>434</v>
      </c>
      <c r="E22" s="546" t="s">
        <v>64</v>
      </c>
    </row>
    <row r="23" spans="1:8" ht="15.75" thickBot="1" x14ac:dyDescent="0.3">
      <c r="A23" s="681"/>
      <c r="B23" s="554">
        <f>B13</f>
        <v>2023</v>
      </c>
      <c r="C23" s="554">
        <f>C13</f>
        <v>2024</v>
      </c>
      <c r="D23" s="554">
        <f>D13</f>
        <v>2025</v>
      </c>
      <c r="E23" s="554">
        <f>E13</f>
        <v>2026</v>
      </c>
    </row>
    <row r="24" spans="1:8" ht="30" customHeight="1" thickBot="1" x14ac:dyDescent="0.3">
      <c r="A24" s="548" t="s">
        <v>439</v>
      </c>
      <c r="B24" s="549">
        <f>B25+B26</f>
        <v>0</v>
      </c>
      <c r="C24" s="549">
        <f t="shared" ref="C24:E24" si="3">C25+C26</f>
        <v>0</v>
      </c>
      <c r="D24" s="549">
        <f t="shared" si="3"/>
        <v>0</v>
      </c>
      <c r="E24" s="549">
        <f t="shared" si="3"/>
        <v>0</v>
      </c>
    </row>
    <row r="25" spans="1:8" ht="37.5" customHeight="1" thickBot="1" x14ac:dyDescent="0.3">
      <c r="A25" s="555" t="s">
        <v>440</v>
      </c>
      <c r="B25" s="551"/>
      <c r="C25" s="551"/>
      <c r="D25" s="551"/>
      <c r="E25" s="551"/>
      <c r="H25" s="565" t="s">
        <v>479</v>
      </c>
    </row>
    <row r="26" spans="1:8" ht="33" hidden="1" customHeight="1" thickBot="1" x14ac:dyDescent="0.3">
      <c r="A26" s="555" t="s">
        <v>441</v>
      </c>
      <c r="B26" s="552"/>
      <c r="C26" s="551"/>
      <c r="D26" s="551"/>
      <c r="E26" s="551"/>
      <c r="H26" s="565" t="s">
        <v>480</v>
      </c>
    </row>
    <row r="28" spans="1:8" ht="10.5" customHeight="1" thickBot="1" x14ac:dyDescent="0.3">
      <c r="A28" s="545"/>
    </row>
    <row r="29" spans="1:8" ht="8.25" hidden="1" customHeight="1" thickBot="1" x14ac:dyDescent="0.3">
      <c r="A29" s="690"/>
      <c r="B29" s="690"/>
      <c r="C29" s="690"/>
      <c r="D29" s="690"/>
      <c r="E29" s="690"/>
    </row>
    <row r="30" spans="1:8" ht="10.5" customHeight="1" x14ac:dyDescent="0.25">
      <c r="A30" s="684"/>
      <c r="B30" s="685"/>
      <c r="C30" s="685"/>
      <c r="D30" s="685"/>
      <c r="E30" s="686"/>
    </row>
    <row r="31" spans="1:8" ht="7.5" hidden="1" customHeight="1" thickBot="1" x14ac:dyDescent="0.3">
      <c r="A31" s="687"/>
      <c r="B31" s="688"/>
      <c r="C31" s="688"/>
      <c r="D31" s="688"/>
      <c r="E31" s="689"/>
    </row>
    <row r="32" spans="1:8" ht="15.75" customHeight="1" x14ac:dyDescent="0.25">
      <c r="A32" s="668" t="s">
        <v>482</v>
      </c>
      <c r="B32" s="668"/>
      <c r="C32" s="668"/>
      <c r="D32" s="668"/>
      <c r="E32" s="668"/>
    </row>
    <row r="33" spans="1:5" ht="0.75" hidden="1" customHeight="1" x14ac:dyDescent="0.25">
      <c r="A33" s="669"/>
      <c r="B33" s="669"/>
      <c r="C33" s="669"/>
      <c r="D33" s="669"/>
      <c r="E33" s="669"/>
    </row>
    <row r="34" spans="1:5" ht="15.75" hidden="1" thickBot="1" x14ac:dyDescent="0.3">
      <c r="A34" s="581"/>
      <c r="B34" s="581"/>
      <c r="C34" s="581"/>
      <c r="D34" s="581"/>
      <c r="E34" s="581"/>
    </row>
    <row r="35" spans="1:5" ht="4.5" hidden="1" customHeight="1" x14ac:dyDescent="0.25">
      <c r="A35" s="684"/>
      <c r="B35" s="685"/>
      <c r="C35" s="685"/>
      <c r="D35" s="685"/>
      <c r="E35" s="686"/>
    </row>
    <row r="36" spans="1:5" ht="6" hidden="1" customHeight="1" thickBot="1" x14ac:dyDescent="0.3">
      <c r="A36" s="687"/>
      <c r="B36" s="688"/>
      <c r="C36" s="688"/>
      <c r="D36" s="688"/>
      <c r="E36" s="689"/>
    </row>
    <row r="37" spans="1:5" ht="15.75" thickBot="1" x14ac:dyDescent="0.3"/>
    <row r="38" spans="1:5" ht="18.75" x14ac:dyDescent="0.25">
      <c r="A38" s="670" t="s">
        <v>442</v>
      </c>
      <c r="B38" s="546" t="s">
        <v>13</v>
      </c>
      <c r="C38" s="546" t="s">
        <v>63</v>
      </c>
      <c r="D38" s="546" t="s">
        <v>434</v>
      </c>
      <c r="E38" s="547" t="s">
        <v>64</v>
      </c>
    </row>
    <row r="39" spans="1:5" ht="15.75" thickBot="1" x14ac:dyDescent="0.3">
      <c r="A39" s="671"/>
      <c r="B39" s="554">
        <f>B13</f>
        <v>2023</v>
      </c>
      <c r="C39" s="554">
        <f>C13</f>
        <v>2024</v>
      </c>
      <c r="D39" s="554">
        <f>D13</f>
        <v>2025</v>
      </c>
      <c r="E39" s="554">
        <f>E13</f>
        <v>2026</v>
      </c>
    </row>
    <row r="40" spans="1:5" ht="21.95" customHeight="1" thickBot="1" x14ac:dyDescent="0.3">
      <c r="A40" s="556" t="s">
        <v>466</v>
      </c>
      <c r="B40" s="557"/>
      <c r="C40" s="557"/>
      <c r="D40" s="557"/>
      <c r="E40" s="557"/>
    </row>
    <row r="41" spans="1:5" ht="21.95" customHeight="1" thickBot="1" x14ac:dyDescent="0.3">
      <c r="A41" s="556" t="s">
        <v>443</v>
      </c>
      <c r="B41" s="557"/>
      <c r="C41" s="559">
        <f>SUM(C42:C44)</f>
        <v>0</v>
      </c>
      <c r="D41" s="559">
        <f t="shared" ref="D41:E41" si="4">SUM(D42:D44)</f>
        <v>0</v>
      </c>
      <c r="E41" s="559">
        <f t="shared" si="4"/>
        <v>0</v>
      </c>
    </row>
    <row r="42" spans="1:5" ht="18" customHeight="1" thickBot="1" x14ac:dyDescent="0.3">
      <c r="A42" s="578" t="s">
        <v>444</v>
      </c>
      <c r="B42" s="560"/>
      <c r="C42" s="579"/>
      <c r="D42" s="579"/>
      <c r="E42" s="579"/>
    </row>
    <row r="43" spans="1:5" ht="17.25" customHeight="1" thickBot="1" x14ac:dyDescent="0.3">
      <c r="A43" s="578" t="s">
        <v>445</v>
      </c>
      <c r="B43" s="560"/>
      <c r="C43" s="579"/>
      <c r="D43" s="579"/>
      <c r="E43" s="579"/>
    </row>
    <row r="44" spans="1:5" ht="18" customHeight="1" thickBot="1" x14ac:dyDescent="0.3">
      <c r="A44" s="578" t="s">
        <v>446</v>
      </c>
      <c r="B44" s="560"/>
      <c r="C44" s="579"/>
      <c r="D44" s="579"/>
      <c r="E44" s="579"/>
    </row>
    <row r="45" spans="1:5" ht="21.95" customHeight="1" thickBot="1" x14ac:dyDescent="0.3">
      <c r="A45" s="556" t="s">
        <v>447</v>
      </c>
      <c r="B45" s="557"/>
      <c r="C45" s="559">
        <f>SUM(C46:C53)</f>
        <v>0</v>
      </c>
      <c r="D45" s="559">
        <f t="shared" ref="D45:E45" si="5">SUM(D46:D53)</f>
        <v>0</v>
      </c>
      <c r="E45" s="559">
        <f t="shared" si="5"/>
        <v>0</v>
      </c>
    </row>
    <row r="46" spans="1:5" ht="18" customHeight="1" thickBot="1" x14ac:dyDescent="0.3">
      <c r="A46" s="578" t="s">
        <v>448</v>
      </c>
      <c r="B46" s="560"/>
      <c r="C46" s="551"/>
      <c r="D46" s="551"/>
      <c r="E46" s="551"/>
    </row>
    <row r="47" spans="1:5" ht="18" customHeight="1" thickBot="1" x14ac:dyDescent="0.3">
      <c r="A47" s="578" t="s">
        <v>449</v>
      </c>
      <c r="B47" s="560"/>
      <c r="C47" s="551"/>
      <c r="D47" s="551"/>
      <c r="E47" s="551"/>
    </row>
    <row r="48" spans="1:5" ht="18" customHeight="1" thickBot="1" x14ac:dyDescent="0.3">
      <c r="A48" s="578" t="s">
        <v>450</v>
      </c>
      <c r="B48" s="560"/>
      <c r="C48" s="551"/>
      <c r="D48" s="551"/>
      <c r="E48" s="551"/>
    </row>
    <row r="49" spans="1:5" ht="18" customHeight="1" thickBot="1" x14ac:dyDescent="0.3">
      <c r="A49" s="578" t="s">
        <v>413</v>
      </c>
      <c r="B49" s="560"/>
      <c r="C49" s="551"/>
      <c r="D49" s="551"/>
      <c r="E49" s="551"/>
    </row>
    <row r="50" spans="1:5" ht="18" customHeight="1" thickBot="1" x14ac:dyDescent="0.3">
      <c r="A50" s="578" t="s">
        <v>451</v>
      </c>
      <c r="B50" s="560"/>
      <c r="C50" s="551"/>
      <c r="D50" s="551"/>
      <c r="E50" s="551"/>
    </row>
    <row r="51" spans="1:5" ht="18" customHeight="1" thickBot="1" x14ac:dyDescent="0.3">
      <c r="A51" s="578" t="s">
        <v>452</v>
      </c>
      <c r="B51" s="560"/>
      <c r="C51" s="551"/>
      <c r="D51" s="551"/>
      <c r="E51" s="551"/>
    </row>
    <row r="52" spans="1:5" ht="18" customHeight="1" thickBot="1" x14ac:dyDescent="0.3">
      <c r="A52" s="578" t="s">
        <v>422</v>
      </c>
      <c r="B52" s="560"/>
      <c r="C52" s="551"/>
      <c r="D52" s="551"/>
      <c r="E52" s="551"/>
    </row>
    <row r="53" spans="1:5" ht="18" customHeight="1" thickBot="1" x14ac:dyDescent="0.3">
      <c r="A53" s="578" t="s">
        <v>453</v>
      </c>
      <c r="B53" s="560"/>
      <c r="C53" s="551"/>
      <c r="D53" s="551"/>
      <c r="E53" s="551"/>
    </row>
    <row r="54" spans="1:5" ht="21.95" customHeight="1" thickBot="1" x14ac:dyDescent="0.3">
      <c r="A54" s="556" t="s">
        <v>454</v>
      </c>
      <c r="B54" s="557"/>
      <c r="C54" s="559">
        <f>SUM(C55:C57)</f>
        <v>0</v>
      </c>
      <c r="D54" s="559">
        <f t="shared" ref="D54:E54" si="6">SUM(D55:D57)</f>
        <v>0</v>
      </c>
      <c r="E54" s="559">
        <f t="shared" si="6"/>
        <v>0</v>
      </c>
    </row>
    <row r="55" spans="1:5" ht="18" customHeight="1" thickBot="1" x14ac:dyDescent="0.3">
      <c r="A55" s="578" t="s">
        <v>455</v>
      </c>
      <c r="B55" s="560"/>
      <c r="C55" s="551"/>
      <c r="D55" s="551"/>
      <c r="E55" s="551"/>
    </row>
    <row r="56" spans="1:5" ht="18" customHeight="1" thickBot="1" x14ac:dyDescent="0.3">
      <c r="A56" s="578" t="s">
        <v>456</v>
      </c>
      <c r="B56" s="560"/>
      <c r="C56" s="551"/>
      <c r="D56" s="551"/>
      <c r="E56" s="551"/>
    </row>
    <row r="57" spans="1:5" ht="18" customHeight="1" thickBot="1" x14ac:dyDescent="0.3">
      <c r="A57" s="578" t="s">
        <v>424</v>
      </c>
      <c r="B57" s="560"/>
      <c r="C57" s="551"/>
      <c r="D57" s="551"/>
      <c r="E57" s="551"/>
    </row>
    <row r="58" spans="1:5" ht="21.95" customHeight="1" thickBot="1" x14ac:dyDescent="0.3">
      <c r="A58" s="556" t="s">
        <v>457</v>
      </c>
      <c r="B58" s="557"/>
      <c r="C58" s="557"/>
      <c r="D58" s="557"/>
      <c r="E58" s="558"/>
    </row>
    <row r="59" spans="1:5" ht="21.95" customHeight="1" thickBot="1" x14ac:dyDescent="0.3">
      <c r="A59" s="561" t="s">
        <v>458</v>
      </c>
      <c r="B59" s="557"/>
      <c r="C59" s="557"/>
      <c r="D59" s="557"/>
      <c r="E59" s="558"/>
    </row>
    <row r="60" spans="1:5" ht="21.95" customHeight="1" thickBot="1" x14ac:dyDescent="0.3">
      <c r="A60" s="556" t="s">
        <v>459</v>
      </c>
      <c r="B60" s="557"/>
      <c r="C60" s="562">
        <f>C61+C62</f>
        <v>0</v>
      </c>
      <c r="D60" s="562">
        <f t="shared" ref="D60:E60" si="7">D61+D62</f>
        <v>0</v>
      </c>
      <c r="E60" s="562">
        <f t="shared" si="7"/>
        <v>0</v>
      </c>
    </row>
    <row r="61" spans="1:5" ht="18.95" customHeight="1" thickBot="1" x14ac:dyDescent="0.3">
      <c r="A61" s="578" t="s">
        <v>460</v>
      </c>
      <c r="B61" s="552"/>
      <c r="C61" s="551"/>
      <c r="D61" s="551"/>
      <c r="E61" s="551"/>
    </row>
    <row r="62" spans="1:5" ht="18.95" customHeight="1" thickBot="1" x14ac:dyDescent="0.3">
      <c r="A62" s="578" t="s">
        <v>461</v>
      </c>
      <c r="B62" s="552"/>
      <c r="C62" s="551"/>
      <c r="D62" s="551"/>
      <c r="E62" s="551"/>
    </row>
    <row r="63" spans="1:5" ht="27" customHeight="1" thickBot="1" x14ac:dyDescent="0.3">
      <c r="A63" s="564"/>
      <c r="B63" s="568"/>
      <c r="C63" s="567"/>
      <c r="D63" s="567"/>
      <c r="E63" s="567"/>
    </row>
    <row r="64" spans="1:5" ht="18.75" x14ac:dyDescent="0.25">
      <c r="A64" s="680" t="s">
        <v>467</v>
      </c>
      <c r="B64" s="546" t="s">
        <v>13</v>
      </c>
      <c r="C64" s="547" t="s">
        <v>63</v>
      </c>
      <c r="D64" s="546" t="s">
        <v>434</v>
      </c>
      <c r="E64" s="546" t="s">
        <v>64</v>
      </c>
    </row>
    <row r="65" spans="1:5" ht="15.75" thickBot="1" x14ac:dyDescent="0.3">
      <c r="A65" s="681"/>
      <c r="B65" s="554">
        <f>B13</f>
        <v>2023</v>
      </c>
      <c r="C65" s="554">
        <f t="shared" ref="C65:E65" si="8">C13</f>
        <v>2024</v>
      </c>
      <c r="D65" s="554">
        <f t="shared" si="8"/>
        <v>2025</v>
      </c>
      <c r="E65" s="554">
        <f t="shared" si="8"/>
        <v>2026</v>
      </c>
    </row>
    <row r="66" spans="1:5" ht="21.95" customHeight="1" thickBot="1" x14ac:dyDescent="0.3">
      <c r="A66" s="580" t="s">
        <v>468</v>
      </c>
      <c r="B66" s="569"/>
      <c r="C66" s="569"/>
      <c r="D66" s="569"/>
      <c r="E66" s="570"/>
    </row>
    <row r="67" spans="1:5" x14ac:dyDescent="0.25">
      <c r="A67" s="571"/>
      <c r="B67" s="572"/>
      <c r="C67" s="572"/>
      <c r="D67" s="572"/>
      <c r="E67" s="573"/>
    </row>
    <row r="68" spans="1:5" ht="66.75" customHeight="1" x14ac:dyDescent="0.25">
      <c r="A68" s="672" t="s">
        <v>483</v>
      </c>
      <c r="B68" s="672"/>
      <c r="C68" s="672"/>
      <c r="D68" s="672"/>
      <c r="E68" s="672"/>
    </row>
    <row r="69" spans="1:5" ht="31.5" customHeight="1" thickBot="1" x14ac:dyDescent="0.3">
      <c r="A69" s="673" t="s">
        <v>462</v>
      </c>
      <c r="B69" s="673"/>
      <c r="C69" s="673"/>
      <c r="D69" s="673"/>
      <c r="E69" s="673"/>
    </row>
    <row r="70" spans="1:5" ht="29.25" customHeight="1" x14ac:dyDescent="0.25">
      <c r="A70" s="674" t="s">
        <v>463</v>
      </c>
      <c r="B70" s="676" t="s">
        <v>464</v>
      </c>
      <c r="C70" s="677"/>
      <c r="D70" s="682" t="s">
        <v>474</v>
      </c>
      <c r="E70" s="683"/>
    </row>
    <row r="71" spans="1:5" ht="57" customHeight="1" thickBot="1" x14ac:dyDescent="0.3">
      <c r="A71" s="675"/>
      <c r="B71" s="678">
        <f>B13</f>
        <v>2023</v>
      </c>
      <c r="C71" s="679"/>
      <c r="D71" s="678">
        <f>B71+1</f>
        <v>2024</v>
      </c>
      <c r="E71" s="679"/>
    </row>
    <row r="72" spans="1:5" ht="21.95" customHeight="1" thickBot="1" x14ac:dyDescent="0.3">
      <c r="A72" s="577" t="s">
        <v>291</v>
      </c>
      <c r="B72" s="663"/>
      <c r="C72" s="664"/>
      <c r="D72" s="663"/>
      <c r="E72" s="664"/>
    </row>
    <row r="73" spans="1:5" ht="21.95" customHeight="1" thickBot="1" x14ac:dyDescent="0.3">
      <c r="A73" s="577" t="s">
        <v>5</v>
      </c>
      <c r="B73" s="663"/>
      <c r="C73" s="664"/>
      <c r="D73" s="663"/>
      <c r="E73" s="664"/>
    </row>
    <row r="74" spans="1:5" ht="21.95" customHeight="1" thickBot="1" x14ac:dyDescent="0.3">
      <c r="A74" s="577" t="s">
        <v>8</v>
      </c>
      <c r="B74" s="663"/>
      <c r="C74" s="664"/>
      <c r="D74" s="663"/>
      <c r="E74" s="664"/>
    </row>
    <row r="75" spans="1:5" ht="21.95" customHeight="1" thickBot="1" x14ac:dyDescent="0.3">
      <c r="A75" s="577" t="s">
        <v>9</v>
      </c>
      <c r="B75" s="663"/>
      <c r="C75" s="664"/>
      <c r="D75" s="663"/>
      <c r="E75" s="664"/>
    </row>
    <row r="76" spans="1:5" ht="21.95" customHeight="1" thickBot="1" x14ac:dyDescent="0.3">
      <c r="A76" s="577" t="s">
        <v>10</v>
      </c>
      <c r="B76" s="663"/>
      <c r="C76" s="664"/>
      <c r="D76" s="663"/>
      <c r="E76" s="664"/>
    </row>
    <row r="77" spans="1:5" ht="21.95" customHeight="1" thickBot="1" x14ac:dyDescent="0.3">
      <c r="A77" s="577" t="s">
        <v>11</v>
      </c>
      <c r="B77" s="663"/>
      <c r="C77" s="664"/>
      <c r="D77" s="663"/>
      <c r="E77" s="664"/>
    </row>
    <row r="78" spans="1:5" ht="25.5" customHeight="1" thickBot="1" x14ac:dyDescent="0.3">
      <c r="A78" s="556" t="s">
        <v>465</v>
      </c>
      <c r="B78" s="665">
        <f>B72+B73+B74+B75+B76+B77</f>
        <v>0</v>
      </c>
      <c r="C78" s="666"/>
      <c r="D78" s="665">
        <f>D72+D73+D74+D75+D76+D77</f>
        <v>0</v>
      </c>
      <c r="E78" s="666"/>
    </row>
    <row r="79" spans="1:5" x14ac:dyDescent="0.25">
      <c r="A79" s="563"/>
    </row>
    <row r="80" spans="1:5" ht="15.75" x14ac:dyDescent="0.25">
      <c r="A80" s="582"/>
    </row>
    <row r="81" spans="1:5" x14ac:dyDescent="0.25">
      <c r="A81" s="667"/>
      <c r="B81" s="667"/>
      <c r="C81" s="667"/>
      <c r="D81" s="667"/>
      <c r="E81" s="667"/>
    </row>
    <row r="82" spans="1:5" ht="87" customHeight="1" x14ac:dyDescent="0.25">
      <c r="A82" s="575"/>
      <c r="B82" s="576"/>
    </row>
    <row r="83" spans="1:5" ht="12.75" customHeight="1" x14ac:dyDescent="0.25">
      <c r="A83" s="564"/>
      <c r="B83" s="564" t="s">
        <v>472</v>
      </c>
    </row>
    <row r="84" spans="1:5" x14ac:dyDescent="0.25">
      <c r="A84" s="564"/>
    </row>
    <row r="85" spans="1:5" x14ac:dyDescent="0.25">
      <c r="A85" s="661"/>
      <c r="B85" s="661"/>
      <c r="C85" s="661"/>
      <c r="D85" s="661"/>
      <c r="E85" s="661"/>
    </row>
    <row r="86" spans="1:5" ht="62.25" customHeight="1" x14ac:dyDescent="0.25">
      <c r="A86" s="662"/>
      <c r="B86" s="662"/>
      <c r="C86" s="662"/>
      <c r="D86" s="662"/>
      <c r="E86" s="662"/>
    </row>
  </sheetData>
  <sheetProtection algorithmName="SHA-512" hashValue="afPT3Y0axq5hooiB3EoJ2tjaxKmcKveMMxCJjCSs/+x+Vm6v48cL5Vn3VlCdXmTKF4H5ZN6xoEvjBvT9NKvQrg==" saltValue="VdY4PptphJoLf8TpVKKr7Q==" spinCount="100000" sheet="1" objects="1" scenarios="1"/>
  <mergeCells count="38">
    <mergeCell ref="A30:E31"/>
    <mergeCell ref="A35:E36"/>
    <mergeCell ref="A29:E29"/>
    <mergeCell ref="A2:E2"/>
    <mergeCell ref="A4:E4"/>
    <mergeCell ref="A10:E10"/>
    <mergeCell ref="A12:A13"/>
    <mergeCell ref="A22:A23"/>
    <mergeCell ref="A3:E3"/>
    <mergeCell ref="A6:E6"/>
    <mergeCell ref="B72:C72"/>
    <mergeCell ref="D72:E72"/>
    <mergeCell ref="A32:E32"/>
    <mergeCell ref="A33:E33"/>
    <mergeCell ref="A38:A39"/>
    <mergeCell ref="A68:E68"/>
    <mergeCell ref="A69:E69"/>
    <mergeCell ref="A70:A71"/>
    <mergeCell ref="B70:C70"/>
    <mergeCell ref="B71:C71"/>
    <mergeCell ref="A64:A65"/>
    <mergeCell ref="D70:E70"/>
    <mergeCell ref="D71:E71"/>
    <mergeCell ref="B73:C73"/>
    <mergeCell ref="D73:E73"/>
    <mergeCell ref="B74:C74"/>
    <mergeCell ref="D74:E74"/>
    <mergeCell ref="B75:C75"/>
    <mergeCell ref="D75:E75"/>
    <mergeCell ref="A85:E85"/>
    <mergeCell ref="A86:E86"/>
    <mergeCell ref="B76:C76"/>
    <mergeCell ref="D76:E76"/>
    <mergeCell ref="B77:C77"/>
    <mergeCell ref="D77:E77"/>
    <mergeCell ref="B78:C78"/>
    <mergeCell ref="D78:E78"/>
    <mergeCell ref="A81:E8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3" manualBreakCount="3">
    <brk id="31" max="4" man="1"/>
    <brk id="66" max="4" man="1"/>
    <brk id="92" max="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8" zoomScale="154" zoomScaleNormal="154" workbookViewId="0">
      <selection activeCell="H43" sqref="H43"/>
    </sheetView>
  </sheetViews>
  <sheetFormatPr defaultColWidth="9.140625" defaultRowHeight="15" x14ac:dyDescent="0.25"/>
  <cols>
    <col min="1" max="1" width="0" style="41" hidden="1" customWidth="1"/>
    <col min="2" max="2" width="15.85546875" style="41" customWidth="1"/>
    <col min="3" max="3" width="18.28515625" style="41" customWidth="1"/>
    <col min="4" max="4" width="12.42578125" style="41" bestFit="1" customWidth="1"/>
    <col min="5" max="6" width="13.140625" style="41" bestFit="1" customWidth="1"/>
    <col min="7" max="7" width="9.7109375" style="41" bestFit="1" customWidth="1"/>
    <col min="8" max="8" width="12.5703125" style="41" customWidth="1"/>
    <col min="9" max="9" width="12.42578125" style="41" bestFit="1" customWidth="1"/>
    <col min="10" max="10" width="12.28515625" style="41" customWidth="1"/>
    <col min="11" max="11" width="0" style="41" hidden="1" customWidth="1"/>
    <col min="12" max="16384" width="9.140625" style="41"/>
  </cols>
  <sheetData>
    <row r="1" spans="2:22" hidden="1" x14ac:dyDescent="0.25"/>
    <row r="2" spans="2:22" hidden="1" x14ac:dyDescent="0.25">
      <c r="B2" s="44"/>
      <c r="C2" s="44"/>
      <c r="D2" s="44"/>
      <c r="E2" s="44"/>
      <c r="F2" s="44"/>
      <c r="G2" s="44"/>
      <c r="H2" s="44"/>
      <c r="I2" s="44"/>
      <c r="J2" s="44"/>
    </row>
    <row r="3" spans="2:22" hidden="1" x14ac:dyDescent="0.25">
      <c r="B3" s="714" t="s">
        <v>92</v>
      </c>
      <c r="C3" s="715"/>
      <c r="D3" s="715"/>
      <c r="E3" s="715"/>
      <c r="F3" s="44"/>
      <c r="G3" s="44"/>
      <c r="H3" s="44"/>
      <c r="I3" s="44"/>
      <c r="J3" s="44"/>
    </row>
    <row r="4" spans="2:22" hidden="1" x14ac:dyDescent="0.25">
      <c r="B4" s="121" t="s">
        <v>76</v>
      </c>
      <c r="C4" s="122"/>
      <c r="D4" s="122"/>
      <c r="E4" s="470">
        <f>'Parametry nakładów i pożyczki'!B27</f>
        <v>0</v>
      </c>
      <c r="F4" s="44"/>
      <c r="G4" s="44"/>
      <c r="H4" s="44"/>
      <c r="I4" s="44"/>
      <c r="J4" s="44"/>
    </row>
    <row r="5" spans="2:22" hidden="1" x14ac:dyDescent="0.25">
      <c r="B5" s="123" t="s">
        <v>74</v>
      </c>
      <c r="E5" s="470">
        <f>'Parametry nakładów i pożyczki'!B28</f>
        <v>0</v>
      </c>
      <c r="F5" s="44"/>
      <c r="G5" s="44"/>
      <c r="H5" s="44"/>
      <c r="I5" s="44"/>
      <c r="J5" s="44"/>
    </row>
    <row r="6" spans="2:22" hidden="1" x14ac:dyDescent="0.25">
      <c r="B6" s="124" t="s">
        <v>75</v>
      </c>
      <c r="C6" s="45"/>
      <c r="D6" s="45"/>
      <c r="E6" s="470">
        <f>'Parametry nakładów i pożyczki'!B29</f>
        <v>0</v>
      </c>
      <c r="F6" s="44"/>
      <c r="G6" s="44"/>
      <c r="H6" s="44"/>
      <c r="I6" s="44"/>
      <c r="J6" s="46"/>
    </row>
    <row r="7" spans="2:22" hidden="1" x14ac:dyDescent="0.25">
      <c r="B7" s="47"/>
      <c r="C7" s="48"/>
      <c r="D7" s="48"/>
      <c r="E7" s="48"/>
      <c r="F7" s="48"/>
      <c r="G7" s="48"/>
      <c r="H7" s="48"/>
      <c r="I7" s="44"/>
      <c r="J7" s="44"/>
    </row>
    <row r="8" spans="2:22" ht="30" hidden="1" x14ac:dyDescent="0.25">
      <c r="B8" s="49" t="s">
        <v>77</v>
      </c>
      <c r="C8" s="48"/>
      <c r="D8" s="48"/>
      <c r="E8" s="471">
        <f>'zmiana kosztów eksploatacyjnych'!B47</f>
        <v>0</v>
      </c>
      <c r="F8" s="48"/>
      <c r="G8" s="48"/>
      <c r="H8" s="48"/>
      <c r="I8" s="44"/>
      <c r="J8" s="44"/>
    </row>
    <row r="9" spans="2:22" hidden="1" x14ac:dyDescent="0.25">
      <c r="B9" s="50" t="s">
        <v>305</v>
      </c>
      <c r="C9" s="48"/>
      <c r="D9" s="48"/>
      <c r="E9" s="471">
        <f>'zmiana kosztów eksploatacyjnych'!B48</f>
        <v>0</v>
      </c>
      <c r="F9" s="48"/>
      <c r="G9" s="48"/>
      <c r="H9" s="48"/>
      <c r="I9" s="44"/>
      <c r="J9" s="44"/>
    </row>
    <row r="10" spans="2:22" ht="15.75" hidden="1" thickBot="1" x14ac:dyDescent="0.3">
      <c r="B10" s="51" t="s">
        <v>304</v>
      </c>
      <c r="C10" s="52"/>
      <c r="D10" s="52"/>
      <c r="E10" s="471">
        <f>'zmiana kosztów eksploatacyjnych'!B49</f>
        <v>0</v>
      </c>
      <c r="F10" s="48"/>
      <c r="G10" s="48"/>
      <c r="H10" s="48"/>
      <c r="I10" s="44"/>
      <c r="J10" s="44"/>
    </row>
    <row r="11" spans="2:22" hidden="1" x14ac:dyDescent="0.25">
      <c r="B11" s="44" t="s">
        <v>78</v>
      </c>
      <c r="D11" s="53"/>
      <c r="E11" s="54">
        <f>($E$8/365)*(RZiS!F22-RZiS!D22)</f>
        <v>0</v>
      </c>
      <c r="F11" s="54">
        <f>($E$8/365)*(RZiS!G22-RZiS!F22)</f>
        <v>0</v>
      </c>
      <c r="G11" s="54">
        <f>($E$8/365)*(RZiS!H22-RZiS!G22)</f>
        <v>0</v>
      </c>
      <c r="H11" s="54">
        <f>($E$8/365)*(RZiS!I22-RZiS!H22)</f>
        <v>0</v>
      </c>
      <c r="I11" s="54">
        <f>($E$8/365)*(RZiS!J22-RZiS!I22)</f>
        <v>0</v>
      </c>
      <c r="J11" s="54">
        <f>($E$8/365)*(RZiS!K22-RZiS!J22)</f>
        <v>0</v>
      </c>
      <c r="K11" s="54">
        <f>($E$8/365)*(RZiS!L22-RZiS!K22)</f>
        <v>0</v>
      </c>
      <c r="L11" s="54">
        <f>($E$8/365)*(RZiS!M22-RZiS!L22)</f>
        <v>0</v>
      </c>
      <c r="M11" s="54">
        <f>($E$8/365)*(RZiS!N22-RZiS!M22)</f>
        <v>0</v>
      </c>
      <c r="N11" s="54">
        <f>($E$8/365)*(RZiS!O22-RZiS!N22)</f>
        <v>0</v>
      </c>
      <c r="O11" s="54"/>
      <c r="P11" s="54"/>
      <c r="Q11" s="54"/>
      <c r="R11" s="54"/>
      <c r="S11" s="54"/>
      <c r="T11" s="54"/>
      <c r="U11" s="54"/>
      <c r="V11" s="54"/>
    </row>
    <row r="12" spans="2:22" ht="30" hidden="1" x14ac:dyDescent="0.25">
      <c r="B12" s="53" t="s">
        <v>79</v>
      </c>
      <c r="C12" s="53"/>
      <c r="D12" s="53"/>
      <c r="E12" s="54">
        <f>($E$9/365)*(RZiS!F9+RZiS!F12-RZiS!D9-RZiS!D12)</f>
        <v>0</v>
      </c>
      <c r="F12" s="54">
        <f>($E$9/365)*(RZiS!G9+RZiS!G12-RZiS!F9-RZiS!F12)</f>
        <v>0</v>
      </c>
      <c r="G12" s="54">
        <f>($E$9/365)*(RZiS!H9+RZiS!H12-RZiS!G9-RZiS!G12)</f>
        <v>0</v>
      </c>
      <c r="H12" s="54">
        <f>($E$9/365)*(RZiS!I9+RZiS!I12-RZiS!H9-RZiS!H12)</f>
        <v>0</v>
      </c>
      <c r="I12" s="54">
        <f>($E$9/365)*(RZiS!J9+RZiS!J12-RZiS!I9-RZiS!I12)</f>
        <v>0</v>
      </c>
      <c r="J12" s="54">
        <f>($E$9/365)*(RZiS!K9+RZiS!K12-RZiS!J9-RZiS!J12)</f>
        <v>0</v>
      </c>
      <c r="K12" s="54">
        <f>($E$9/365)*(RZiS!L9+RZiS!L12-RZiS!K9-RZiS!K12)</f>
        <v>0</v>
      </c>
      <c r="L12" s="54">
        <f>($E$9/365)*(RZiS!M9+RZiS!M12-RZiS!L9-RZiS!L12)</f>
        <v>0</v>
      </c>
      <c r="M12" s="54">
        <f>($E$9/365)*(RZiS!N9+RZiS!N12-RZiS!M9-RZiS!M12)</f>
        <v>0</v>
      </c>
      <c r="N12" s="54">
        <f>($E$9/365)*(RZiS!O9+RZiS!O12-RZiS!N9-RZiS!N12)</f>
        <v>0</v>
      </c>
    </row>
    <row r="13" spans="2:22" hidden="1" x14ac:dyDescent="0.25">
      <c r="B13" s="55" t="s">
        <v>80</v>
      </c>
      <c r="C13" s="56"/>
      <c r="D13" s="57"/>
      <c r="E13" s="58">
        <f>($E$10/365)*(RZiS!F13-RZiS!F14-RZiS!D13+RZiS!D14)</f>
        <v>0</v>
      </c>
      <c r="F13" s="58">
        <f>($E$10/365)*(RZiS!G13-RZiS!G14-RZiS!F13+RZiS!F14)</f>
        <v>0</v>
      </c>
      <c r="G13" s="58">
        <f>($E$10/365)*(RZiS!H13-RZiS!H14-RZiS!G13+RZiS!G14)</f>
        <v>0</v>
      </c>
      <c r="H13" s="58">
        <f>($E$10/365)*(RZiS!I13-RZiS!I14-RZiS!H13+RZiS!H14)</f>
        <v>0</v>
      </c>
      <c r="I13" s="58">
        <f>($E$10/365)*(RZiS!J13-RZiS!J14-RZiS!I13+RZiS!I14)</f>
        <v>0</v>
      </c>
      <c r="J13" s="58">
        <f>($E$10/365)*(RZiS!K13-RZiS!K14-RZiS!J13+RZiS!J14)</f>
        <v>0</v>
      </c>
      <c r="K13" s="58">
        <f>($E$10/365)*(RZiS!L13-RZiS!L14-RZiS!K13+RZiS!K14)</f>
        <v>0</v>
      </c>
      <c r="L13" s="58">
        <f>($E$10/365)*(RZiS!M13-RZiS!M14-RZiS!L13+RZiS!L14)</f>
        <v>0</v>
      </c>
      <c r="M13" s="58">
        <f>($E$10/365)*(RZiS!N13-RZiS!N14-RZiS!M13+RZiS!M14)</f>
        <v>0</v>
      </c>
      <c r="N13" s="58">
        <f>($E$10/365)*(RZiS!O13-RZiS!O14-RZiS!N13+RZiS!N14)</f>
        <v>0</v>
      </c>
      <c r="O13" s="58"/>
      <c r="P13" s="58"/>
    </row>
    <row r="14" spans="2:22" hidden="1" x14ac:dyDescent="0.25">
      <c r="B14" s="53"/>
      <c r="C14" s="53"/>
      <c r="D14" s="53"/>
      <c r="E14" s="53"/>
      <c r="F14" s="137"/>
      <c r="G14" s="53"/>
      <c r="H14" s="53"/>
      <c r="I14" s="44"/>
      <c r="J14" s="44"/>
    </row>
    <row r="15" spans="2:22" hidden="1" x14ac:dyDescent="0.25">
      <c r="B15" s="53"/>
      <c r="C15" s="53"/>
      <c r="D15" s="53"/>
      <c r="E15" s="53"/>
      <c r="F15" s="53"/>
      <c r="G15" s="53"/>
      <c r="H15" s="53"/>
      <c r="I15" s="44"/>
      <c r="J15" s="44"/>
    </row>
    <row r="16" spans="2:22" hidden="1" x14ac:dyDescent="0.25">
      <c r="B16" s="53"/>
      <c r="C16" s="53"/>
      <c r="D16" s="53"/>
      <c r="E16" s="53"/>
      <c r="F16" s="53"/>
      <c r="G16" s="53"/>
      <c r="H16" s="53"/>
      <c r="I16" s="44"/>
      <c r="J16" s="44"/>
    </row>
    <row r="17" spans="2:10" hidden="1" x14ac:dyDescent="0.25">
      <c r="B17" s="53"/>
      <c r="C17" s="53"/>
      <c r="D17" s="53"/>
      <c r="E17" s="53"/>
      <c r="F17" s="53"/>
      <c r="G17" s="53"/>
      <c r="H17" s="53"/>
      <c r="I17" s="44"/>
      <c r="J17" s="44"/>
    </row>
    <row r="18" spans="2:10" hidden="1" x14ac:dyDescent="0.25">
      <c r="B18" s="53"/>
      <c r="C18" s="53"/>
      <c r="D18" s="53"/>
      <c r="E18" s="53"/>
      <c r="F18" s="53"/>
      <c r="G18" s="53"/>
      <c r="H18" s="53"/>
      <c r="I18" s="44"/>
      <c r="J18" s="44"/>
    </row>
    <row r="19" spans="2:10" hidden="1" x14ac:dyDescent="0.25">
      <c r="B19" s="53"/>
      <c r="C19" s="53"/>
      <c r="D19" s="53"/>
      <c r="E19" s="53"/>
      <c r="F19" s="53"/>
      <c r="G19" s="53"/>
      <c r="H19" s="53"/>
      <c r="I19" s="44"/>
      <c r="J19" s="44"/>
    </row>
    <row r="20" spans="2:10" hidden="1" x14ac:dyDescent="0.25">
      <c r="B20" s="53"/>
      <c r="C20" s="53"/>
      <c r="D20" s="53"/>
      <c r="E20" s="53"/>
      <c r="F20" s="53"/>
      <c r="G20" s="53"/>
      <c r="H20" s="53"/>
      <c r="I20" s="44"/>
      <c r="J20" s="44"/>
    </row>
    <row r="21" spans="2:10" hidden="1" x14ac:dyDescent="0.25">
      <c r="B21" s="53"/>
      <c r="C21" s="53"/>
      <c r="D21" s="53"/>
      <c r="E21" s="53"/>
      <c r="F21" s="53"/>
      <c r="G21" s="53"/>
      <c r="H21" s="53"/>
      <c r="I21" s="44"/>
      <c r="J21" s="44"/>
    </row>
    <row r="22" spans="2:10" hidden="1" x14ac:dyDescent="0.25">
      <c r="B22" s="53"/>
      <c r="C22" s="53"/>
      <c r="D22" s="53"/>
      <c r="E22" s="53"/>
      <c r="F22" s="53"/>
      <c r="G22" s="53"/>
      <c r="H22" s="53"/>
      <c r="I22" s="44"/>
      <c r="J22" s="44"/>
    </row>
    <row r="23" spans="2:10" hidden="1" x14ac:dyDescent="0.25">
      <c r="B23" s="53"/>
      <c r="C23" s="53"/>
      <c r="D23" s="53"/>
      <c r="E23" s="53"/>
      <c r="F23" s="53"/>
      <c r="G23" s="53"/>
      <c r="H23" s="53"/>
      <c r="I23" s="44"/>
      <c r="J23" s="44"/>
    </row>
    <row r="24" spans="2:10" hidden="1" x14ac:dyDescent="0.25">
      <c r="B24" s="53"/>
      <c r="C24" s="53"/>
      <c r="D24" s="53"/>
      <c r="E24" s="53"/>
      <c r="F24" s="53"/>
      <c r="G24" s="53"/>
      <c r="H24" s="53"/>
      <c r="I24" s="44"/>
      <c r="J24" s="44"/>
    </row>
    <row r="25" spans="2:10" hidden="1" x14ac:dyDescent="0.25">
      <c r="B25" s="53"/>
      <c r="C25" s="53"/>
      <c r="D25" s="53"/>
      <c r="E25" s="53"/>
      <c r="F25" s="53"/>
      <c r="G25" s="53"/>
      <c r="H25" s="53"/>
      <c r="I25" s="44"/>
      <c r="J25" s="44"/>
    </row>
    <row r="26" spans="2:10" hidden="1" x14ac:dyDescent="0.25">
      <c r="B26" s="53"/>
      <c r="C26" s="53"/>
      <c r="D26" s="53"/>
      <c r="E26" s="53"/>
      <c r="F26" s="53"/>
      <c r="G26" s="53"/>
      <c r="H26" s="53"/>
      <c r="I26" s="44"/>
      <c r="J26" s="44"/>
    </row>
    <row r="27" spans="2:10" hidden="1" x14ac:dyDescent="0.25">
      <c r="B27" s="53"/>
      <c r="C27" s="53"/>
      <c r="D27" s="53"/>
      <c r="E27" s="53"/>
      <c r="F27" s="53"/>
      <c r="G27" s="53"/>
      <c r="H27" s="53"/>
      <c r="I27" s="44"/>
      <c r="J27" s="44"/>
    </row>
    <row r="28" spans="2:10" hidden="1" x14ac:dyDescent="0.25">
      <c r="B28" s="53"/>
      <c r="C28" s="53"/>
      <c r="D28" s="53"/>
      <c r="E28" s="53"/>
      <c r="F28" s="53"/>
      <c r="G28" s="53"/>
      <c r="H28" s="53"/>
      <c r="I28" s="44"/>
      <c r="J28" s="44"/>
    </row>
    <row r="29" spans="2:10" hidden="1" x14ac:dyDescent="0.25">
      <c r="B29" s="53"/>
      <c r="C29" s="53"/>
      <c r="D29" s="53"/>
      <c r="E29" s="53"/>
      <c r="F29" s="53"/>
      <c r="G29" s="53"/>
      <c r="H29" s="53"/>
      <c r="I29" s="44"/>
      <c r="J29" s="44"/>
    </row>
    <row r="30" spans="2:10" hidden="1" x14ac:dyDescent="0.25">
      <c r="B30" s="53"/>
      <c r="C30" s="53"/>
      <c r="D30" s="53"/>
      <c r="E30" s="53"/>
      <c r="F30" s="53"/>
      <c r="G30" s="53"/>
      <c r="H30" s="53"/>
      <c r="I30" s="44"/>
      <c r="J30" s="44"/>
    </row>
    <row r="31" spans="2:10" hidden="1" x14ac:dyDescent="0.25">
      <c r="B31" s="53"/>
      <c r="C31" s="53"/>
      <c r="D31" s="53"/>
      <c r="E31" s="53"/>
      <c r="F31" s="53"/>
      <c r="G31" s="53"/>
      <c r="H31" s="53"/>
      <c r="I31" s="44"/>
      <c r="J31" s="44"/>
    </row>
    <row r="32" spans="2:10" hidden="1" x14ac:dyDescent="0.25">
      <c r="B32" s="53"/>
      <c r="C32" s="53"/>
      <c r="D32" s="53"/>
      <c r="E32" s="53"/>
      <c r="F32" s="53"/>
      <c r="G32" s="53"/>
      <c r="H32" s="53"/>
      <c r="I32" s="44"/>
      <c r="J32" s="44"/>
    </row>
    <row r="33" spans="1:13" hidden="1" x14ac:dyDescent="0.25">
      <c r="B33" s="53"/>
      <c r="C33" s="53"/>
      <c r="D33" s="53"/>
      <c r="E33" s="53"/>
      <c r="F33" s="53"/>
      <c r="G33" s="53"/>
      <c r="H33" s="53"/>
      <c r="I33" s="44"/>
      <c r="J33" s="44"/>
    </row>
    <row r="34" spans="1:13" hidden="1" x14ac:dyDescent="0.25">
      <c r="B34" s="53"/>
      <c r="C34" s="53"/>
      <c r="D34" s="53"/>
      <c r="E34" s="53"/>
      <c r="F34" s="53"/>
      <c r="G34" s="53"/>
      <c r="H34" s="53"/>
      <c r="I34" s="44"/>
      <c r="J34" s="44"/>
    </row>
    <row r="35" spans="1:13" hidden="1" x14ac:dyDescent="0.25">
      <c r="B35" s="53"/>
      <c r="C35" s="53"/>
      <c r="D35" s="53"/>
      <c r="E35" s="53"/>
      <c r="F35" s="53"/>
      <c r="G35" s="53"/>
      <c r="H35" s="53"/>
      <c r="I35" s="44"/>
      <c r="J35" s="44"/>
    </row>
    <row r="36" spans="1:13" ht="15.75" hidden="1" thickBot="1" x14ac:dyDescent="0.3">
      <c r="B36" s="59"/>
      <c r="C36" s="59"/>
      <c r="D36" s="60"/>
      <c r="E36" s="61"/>
      <c r="F36" s="61"/>
      <c r="G36" s="61"/>
    </row>
    <row r="37" spans="1:13" ht="24" hidden="1" thickBot="1" x14ac:dyDescent="0.4">
      <c r="A37" s="472" t="s">
        <v>295</v>
      </c>
      <c r="B37" s="473"/>
      <c r="C37" s="474"/>
      <c r="D37" s="475"/>
      <c r="E37" s="475"/>
      <c r="F37" s="475"/>
      <c r="G37" s="476"/>
    </row>
    <row r="38" spans="1:13" ht="16.5" thickBot="1" x14ac:dyDescent="0.3">
      <c r="A38" s="477"/>
      <c r="B38" s="595" t="s">
        <v>300</v>
      </c>
      <c r="C38" s="596" t="s">
        <v>301</v>
      </c>
      <c r="D38" s="716"/>
      <c r="E38" s="717"/>
      <c r="F38" s="597"/>
      <c r="G38" s="597"/>
      <c r="H38" s="598"/>
      <c r="I38" s="599" t="s">
        <v>300</v>
      </c>
      <c r="J38" s="599" t="s">
        <v>301</v>
      </c>
      <c r="K38" s="503" t="s">
        <v>408</v>
      </c>
      <c r="L38" s="612"/>
    </row>
    <row r="39" spans="1:13" ht="30" x14ac:dyDescent="0.25">
      <c r="A39" s="478" t="e">
        <f>H39+R15+AB15+AL15+AV15+BF15+BP15+BZ15+CJ15+CT15+DD15</f>
        <v>#VALUE!</v>
      </c>
      <c r="B39" s="600">
        <f>I39+S15+AC15+AM15+AW15+BG15+BQ15+CA15+CK15+CU15+DE15</f>
        <v>0</v>
      </c>
      <c r="C39" s="600">
        <f>J39+T15+AD15+AN15+AX15+BH15+BR15+CB15+CL15+CV15+DF15</f>
        <v>0</v>
      </c>
      <c r="D39" s="601"/>
      <c r="E39" s="602"/>
      <c r="F39" s="603" t="s">
        <v>296</v>
      </c>
      <c r="G39" s="604">
        <f>E5</f>
        <v>0</v>
      </c>
      <c r="H39" s="605" t="s">
        <v>297</v>
      </c>
      <c r="I39" s="606">
        <f>D283</f>
        <v>0</v>
      </c>
      <c r="J39" s="606">
        <f>E283</f>
        <v>0</v>
      </c>
      <c r="L39" s="612"/>
    </row>
    <row r="40" spans="1:13" ht="15.75" x14ac:dyDescent="0.25">
      <c r="A40" s="479"/>
      <c r="B40" s="607"/>
      <c r="C40" s="608"/>
      <c r="D40" s="609"/>
      <c r="E40" s="609"/>
      <c r="F40" s="609"/>
      <c r="G40" s="610"/>
      <c r="H40" s="611"/>
      <c r="I40" s="612"/>
      <c r="J40" s="612"/>
      <c r="L40" s="612"/>
    </row>
    <row r="41" spans="1:13" x14ac:dyDescent="0.25">
      <c r="A41" s="480" t="s">
        <v>298</v>
      </c>
      <c r="B41" s="626" t="s">
        <v>298</v>
      </c>
      <c r="C41" s="626" t="s">
        <v>299</v>
      </c>
      <c r="D41" s="627" t="s">
        <v>300</v>
      </c>
      <c r="E41" s="627" t="s">
        <v>301</v>
      </c>
      <c r="F41" s="627" t="s">
        <v>302</v>
      </c>
      <c r="G41" s="628" t="s">
        <v>303</v>
      </c>
      <c r="H41" s="629"/>
    </row>
    <row r="42" spans="1:13" ht="15.75" thickBot="1" x14ac:dyDescent="0.3">
      <c r="A42" s="481">
        <v>42384</v>
      </c>
      <c r="B42" s="504">
        <v>45524</v>
      </c>
      <c r="C42" s="613"/>
      <c r="D42" s="614"/>
      <c r="E42" s="614"/>
      <c r="F42" s="615">
        <f>E4</f>
        <v>0</v>
      </c>
      <c r="G42" s="616"/>
      <c r="H42" s="611"/>
      <c r="I42" s="617"/>
      <c r="J42" s="612"/>
      <c r="K42" s="612">
        <f>YEAR(B42)</f>
        <v>2024</v>
      </c>
      <c r="L42" s="612"/>
    </row>
    <row r="43" spans="1:13" x14ac:dyDescent="0.25">
      <c r="A43" s="482">
        <v>42420</v>
      </c>
      <c r="B43" s="505">
        <v>45555</v>
      </c>
      <c r="C43" s="618">
        <f>B43-B42</f>
        <v>31</v>
      </c>
      <c r="D43" s="619"/>
      <c r="E43" s="619">
        <f>(F42*C43*H43/36500)</f>
        <v>0</v>
      </c>
      <c r="F43" s="620">
        <f>F42-D43</f>
        <v>0</v>
      </c>
      <c r="G43" s="619">
        <f>D43+E43</f>
        <v>0</v>
      </c>
      <c r="H43" s="621">
        <f>E6</f>
        <v>0</v>
      </c>
      <c r="I43" s="617">
        <f>SUMIF(K$42:K$162,L43,D$42:D$162)</f>
        <v>0</v>
      </c>
      <c r="J43" s="617">
        <f>SUMIF(K$42:K$162,L43,E$42:E$162)</f>
        <v>0</v>
      </c>
      <c r="K43" s="41">
        <f t="shared" ref="K43:K106" si="0">YEAR(B43)</f>
        <v>2024</v>
      </c>
      <c r="L43" s="506">
        <v>2024</v>
      </c>
      <c r="M43" s="41" t="s">
        <v>409</v>
      </c>
    </row>
    <row r="44" spans="1:13" ht="15.75" thickBot="1" x14ac:dyDescent="0.3">
      <c r="A44" s="483">
        <v>42449</v>
      </c>
      <c r="B44" s="504">
        <v>45585</v>
      </c>
      <c r="C44" s="618">
        <f t="shared" ref="C44:C102" si="1">B44-B43</f>
        <v>30</v>
      </c>
      <c r="D44" s="619"/>
      <c r="E44" s="619">
        <f t="shared" ref="E44:E54" si="2">(F43*C44*H44/36500)</f>
        <v>0</v>
      </c>
      <c r="F44" s="620">
        <f t="shared" ref="F44:F58" si="3">F43-D44</f>
        <v>0</v>
      </c>
      <c r="G44" s="619">
        <f t="shared" ref="G44:G102" si="4">D44+E44</f>
        <v>0</v>
      </c>
      <c r="H44" s="622">
        <f t="shared" ref="H44:H107" si="5">$H$43</f>
        <v>0</v>
      </c>
      <c r="I44" s="612"/>
      <c r="J44" s="612"/>
      <c r="K44" s="612">
        <f t="shared" si="0"/>
        <v>2024</v>
      </c>
      <c r="L44" s="612"/>
      <c r="M44" s="507" t="s">
        <v>410</v>
      </c>
    </row>
    <row r="45" spans="1:13" x14ac:dyDescent="0.25">
      <c r="A45" s="482">
        <v>42480</v>
      </c>
      <c r="B45" s="505">
        <v>45616</v>
      </c>
      <c r="C45" s="618">
        <f t="shared" si="1"/>
        <v>31</v>
      </c>
      <c r="D45" s="619"/>
      <c r="E45" s="619">
        <f t="shared" si="2"/>
        <v>0</v>
      </c>
      <c r="F45" s="620">
        <f>F44-D45</f>
        <v>0</v>
      </c>
      <c r="G45" s="619">
        <f t="shared" si="4"/>
        <v>0</v>
      </c>
      <c r="H45" s="622">
        <f t="shared" si="5"/>
        <v>0</v>
      </c>
      <c r="I45" s="612"/>
      <c r="J45" s="612"/>
      <c r="K45" s="612">
        <f t="shared" si="0"/>
        <v>2024</v>
      </c>
      <c r="L45" s="612"/>
    </row>
    <row r="46" spans="1:13" ht="15.75" thickBot="1" x14ac:dyDescent="0.3">
      <c r="A46" s="483">
        <v>42510</v>
      </c>
      <c r="B46" s="504">
        <v>45646</v>
      </c>
      <c r="C46" s="618">
        <f t="shared" si="1"/>
        <v>30</v>
      </c>
      <c r="D46" s="619"/>
      <c r="E46" s="619">
        <f t="shared" si="2"/>
        <v>0</v>
      </c>
      <c r="F46" s="620">
        <f t="shared" si="3"/>
        <v>0</v>
      </c>
      <c r="G46" s="619">
        <f t="shared" si="4"/>
        <v>0</v>
      </c>
      <c r="H46" s="622">
        <f t="shared" si="5"/>
        <v>0</v>
      </c>
      <c r="I46" s="612"/>
      <c r="J46" s="612"/>
      <c r="K46" s="612">
        <f t="shared" si="0"/>
        <v>2024</v>
      </c>
      <c r="L46" s="612"/>
    </row>
    <row r="47" spans="1:13" x14ac:dyDescent="0.25">
      <c r="A47" s="482">
        <v>42541</v>
      </c>
      <c r="B47" s="505">
        <v>45677</v>
      </c>
      <c r="C47" s="618">
        <f t="shared" si="1"/>
        <v>31</v>
      </c>
      <c r="D47" s="619"/>
      <c r="E47" s="619">
        <f t="shared" si="2"/>
        <v>0</v>
      </c>
      <c r="F47" s="620">
        <f>F46-D47</f>
        <v>0</v>
      </c>
      <c r="G47" s="619">
        <f t="shared" si="4"/>
        <v>0</v>
      </c>
      <c r="H47" s="622">
        <f t="shared" si="5"/>
        <v>0</v>
      </c>
      <c r="I47" s="612"/>
      <c r="J47" s="612"/>
      <c r="K47" s="612">
        <f t="shared" si="0"/>
        <v>2025</v>
      </c>
      <c r="L47" s="612"/>
    </row>
    <row r="48" spans="1:13" ht="15.75" thickBot="1" x14ac:dyDescent="0.3">
      <c r="A48" s="483">
        <v>42571</v>
      </c>
      <c r="B48" s="504">
        <v>45708</v>
      </c>
      <c r="C48" s="618">
        <f t="shared" si="1"/>
        <v>31</v>
      </c>
      <c r="D48" s="619"/>
      <c r="E48" s="619">
        <f t="shared" si="2"/>
        <v>0</v>
      </c>
      <c r="F48" s="620">
        <f>F47-D48</f>
        <v>0</v>
      </c>
      <c r="G48" s="619">
        <f t="shared" si="4"/>
        <v>0</v>
      </c>
      <c r="H48" s="622">
        <f t="shared" si="5"/>
        <v>0</v>
      </c>
      <c r="I48" s="612"/>
      <c r="J48" s="612"/>
      <c r="K48" s="612">
        <f t="shared" si="0"/>
        <v>2025</v>
      </c>
      <c r="L48" s="612"/>
    </row>
    <row r="49" spans="1:12" x14ac:dyDescent="0.25">
      <c r="A49" s="482">
        <v>42602</v>
      </c>
      <c r="B49" s="505">
        <v>45736</v>
      </c>
      <c r="C49" s="618">
        <f t="shared" si="1"/>
        <v>28</v>
      </c>
      <c r="D49" s="619">
        <f t="shared" ref="D49:D112" si="6">IF(F48&lt;=0.1,0,$F$42/$G$39)</f>
        <v>0</v>
      </c>
      <c r="E49" s="619">
        <f t="shared" si="2"/>
        <v>0</v>
      </c>
      <c r="F49" s="620">
        <f t="shared" si="3"/>
        <v>0</v>
      </c>
      <c r="G49" s="619">
        <f t="shared" si="4"/>
        <v>0</v>
      </c>
      <c r="H49" s="622">
        <f t="shared" si="5"/>
        <v>0</v>
      </c>
      <c r="I49" s="612"/>
      <c r="J49" s="612"/>
      <c r="K49" s="612">
        <f t="shared" si="0"/>
        <v>2025</v>
      </c>
      <c r="L49" s="612"/>
    </row>
    <row r="50" spans="1:12" ht="15.75" thickBot="1" x14ac:dyDescent="0.3">
      <c r="A50" s="483">
        <v>42633</v>
      </c>
      <c r="B50" s="504">
        <v>45767</v>
      </c>
      <c r="C50" s="618">
        <f t="shared" si="1"/>
        <v>31</v>
      </c>
      <c r="D50" s="619">
        <f t="shared" si="6"/>
        <v>0</v>
      </c>
      <c r="E50" s="619">
        <f t="shared" si="2"/>
        <v>0</v>
      </c>
      <c r="F50" s="620">
        <f t="shared" si="3"/>
        <v>0</v>
      </c>
      <c r="G50" s="619">
        <f t="shared" si="4"/>
        <v>0</v>
      </c>
      <c r="H50" s="622">
        <f t="shared" si="5"/>
        <v>0</v>
      </c>
      <c r="I50" s="612"/>
      <c r="J50" s="612"/>
      <c r="K50" s="612">
        <f t="shared" si="0"/>
        <v>2025</v>
      </c>
      <c r="L50" s="612"/>
    </row>
    <row r="51" spans="1:12" x14ac:dyDescent="0.25">
      <c r="A51" s="482">
        <v>42663</v>
      </c>
      <c r="B51" s="505">
        <v>45797</v>
      </c>
      <c r="C51" s="618">
        <f t="shared" si="1"/>
        <v>30</v>
      </c>
      <c r="D51" s="619">
        <f t="shared" si="6"/>
        <v>0</v>
      </c>
      <c r="E51" s="619">
        <f t="shared" si="2"/>
        <v>0</v>
      </c>
      <c r="F51" s="620">
        <f t="shared" si="3"/>
        <v>0</v>
      </c>
      <c r="G51" s="619">
        <f t="shared" si="4"/>
        <v>0</v>
      </c>
      <c r="H51" s="622">
        <f t="shared" si="5"/>
        <v>0</v>
      </c>
      <c r="I51" s="612"/>
      <c r="J51" s="612"/>
      <c r="K51" s="612">
        <f t="shared" si="0"/>
        <v>2025</v>
      </c>
      <c r="L51" s="612"/>
    </row>
    <row r="52" spans="1:12" ht="15.75" thickBot="1" x14ac:dyDescent="0.3">
      <c r="A52" s="483">
        <v>42694</v>
      </c>
      <c r="B52" s="504">
        <v>45828</v>
      </c>
      <c r="C52" s="618">
        <f t="shared" si="1"/>
        <v>31</v>
      </c>
      <c r="D52" s="619">
        <f t="shared" si="6"/>
        <v>0</v>
      </c>
      <c r="E52" s="619">
        <f t="shared" si="2"/>
        <v>0</v>
      </c>
      <c r="F52" s="620">
        <f t="shared" si="3"/>
        <v>0</v>
      </c>
      <c r="G52" s="619">
        <f t="shared" si="4"/>
        <v>0</v>
      </c>
      <c r="H52" s="622">
        <f t="shared" si="5"/>
        <v>0</v>
      </c>
      <c r="I52" s="612"/>
      <c r="J52" s="612"/>
      <c r="K52" s="612">
        <f t="shared" si="0"/>
        <v>2025</v>
      </c>
      <c r="L52" s="612"/>
    </row>
    <row r="53" spans="1:12" x14ac:dyDescent="0.25">
      <c r="A53" s="482">
        <v>42724</v>
      </c>
      <c r="B53" s="505">
        <v>45858</v>
      </c>
      <c r="C53" s="618">
        <f t="shared" si="1"/>
        <v>30</v>
      </c>
      <c r="D53" s="619">
        <f t="shared" si="6"/>
        <v>0</v>
      </c>
      <c r="E53" s="619">
        <f t="shared" si="2"/>
        <v>0</v>
      </c>
      <c r="F53" s="620">
        <f t="shared" si="3"/>
        <v>0</v>
      </c>
      <c r="G53" s="619">
        <f t="shared" si="4"/>
        <v>0</v>
      </c>
      <c r="H53" s="622">
        <f t="shared" si="5"/>
        <v>0</v>
      </c>
      <c r="I53" s="612"/>
      <c r="J53" s="612"/>
      <c r="K53" s="612">
        <f t="shared" si="0"/>
        <v>2025</v>
      </c>
      <c r="L53" s="612"/>
    </row>
    <row r="54" spans="1:12" ht="15.75" thickBot="1" x14ac:dyDescent="0.3">
      <c r="A54" s="483">
        <v>42755</v>
      </c>
      <c r="B54" s="504">
        <v>45889</v>
      </c>
      <c r="C54" s="618">
        <f t="shared" si="1"/>
        <v>31</v>
      </c>
      <c r="D54" s="619">
        <f t="shared" si="6"/>
        <v>0</v>
      </c>
      <c r="E54" s="619">
        <f t="shared" si="2"/>
        <v>0</v>
      </c>
      <c r="F54" s="620">
        <f>F53-D54</f>
        <v>0</v>
      </c>
      <c r="G54" s="619">
        <f t="shared" si="4"/>
        <v>0</v>
      </c>
      <c r="H54" s="622">
        <f t="shared" si="5"/>
        <v>0</v>
      </c>
      <c r="I54" s="612"/>
      <c r="J54" s="612"/>
      <c r="K54" s="612">
        <f t="shared" si="0"/>
        <v>2025</v>
      </c>
      <c r="L54" s="612"/>
    </row>
    <row r="55" spans="1:12" x14ac:dyDescent="0.25">
      <c r="A55" s="482">
        <v>42786</v>
      </c>
      <c r="B55" s="505">
        <v>45920</v>
      </c>
      <c r="C55" s="618">
        <f t="shared" si="1"/>
        <v>31</v>
      </c>
      <c r="D55" s="619">
        <f t="shared" si="6"/>
        <v>0</v>
      </c>
      <c r="E55" s="619">
        <f t="shared" ref="E55:E118" si="7">IF(D55&lt;0.1,0,(F54*C55*H55/36500))</f>
        <v>0</v>
      </c>
      <c r="F55" s="620">
        <f t="shared" si="3"/>
        <v>0</v>
      </c>
      <c r="G55" s="619">
        <f t="shared" si="4"/>
        <v>0</v>
      </c>
      <c r="H55" s="622">
        <f t="shared" si="5"/>
        <v>0</v>
      </c>
      <c r="I55" s="617">
        <f>SUMIF(K$42:K$162,L55,D$42:D$162)</f>
        <v>0</v>
      </c>
      <c r="J55" s="617">
        <f>SUMIF(K$42:K$162,L55,E$42:E$162)</f>
        <v>0</v>
      </c>
      <c r="K55" s="612">
        <f t="shared" si="0"/>
        <v>2025</v>
      </c>
      <c r="L55" s="612">
        <f>L43+1</f>
        <v>2025</v>
      </c>
    </row>
    <row r="56" spans="1:12" ht="15.75" thickBot="1" x14ac:dyDescent="0.3">
      <c r="A56" s="483">
        <v>42814</v>
      </c>
      <c r="B56" s="504">
        <v>45950</v>
      </c>
      <c r="C56" s="618">
        <f t="shared" si="1"/>
        <v>30</v>
      </c>
      <c r="D56" s="619">
        <f t="shared" si="6"/>
        <v>0</v>
      </c>
      <c r="E56" s="619">
        <f t="shared" si="7"/>
        <v>0</v>
      </c>
      <c r="F56" s="620">
        <f t="shared" si="3"/>
        <v>0</v>
      </c>
      <c r="G56" s="619">
        <f t="shared" si="4"/>
        <v>0</v>
      </c>
      <c r="H56" s="622">
        <f t="shared" si="5"/>
        <v>0</v>
      </c>
      <c r="I56" s="612"/>
      <c r="J56" s="612"/>
      <c r="K56" s="612">
        <f t="shared" si="0"/>
        <v>2025</v>
      </c>
      <c r="L56" s="612"/>
    </row>
    <row r="57" spans="1:12" x14ac:dyDescent="0.25">
      <c r="A57" s="482">
        <v>42845</v>
      </c>
      <c r="B57" s="505">
        <v>45981</v>
      </c>
      <c r="C57" s="618">
        <f t="shared" si="1"/>
        <v>31</v>
      </c>
      <c r="D57" s="619">
        <f t="shared" si="6"/>
        <v>0</v>
      </c>
      <c r="E57" s="619">
        <f t="shared" si="7"/>
        <v>0</v>
      </c>
      <c r="F57" s="620">
        <f t="shared" si="3"/>
        <v>0</v>
      </c>
      <c r="G57" s="619">
        <f t="shared" si="4"/>
        <v>0</v>
      </c>
      <c r="H57" s="622">
        <f t="shared" si="5"/>
        <v>0</v>
      </c>
      <c r="I57" s="612"/>
      <c r="J57" s="612"/>
      <c r="K57" s="612">
        <f t="shared" si="0"/>
        <v>2025</v>
      </c>
      <c r="L57" s="612"/>
    </row>
    <row r="58" spans="1:12" ht="15.75" thickBot="1" x14ac:dyDescent="0.3">
      <c r="A58" s="483">
        <v>42875</v>
      </c>
      <c r="B58" s="504">
        <v>46011</v>
      </c>
      <c r="C58" s="618">
        <f t="shared" si="1"/>
        <v>30</v>
      </c>
      <c r="D58" s="619">
        <f t="shared" si="6"/>
        <v>0</v>
      </c>
      <c r="E58" s="619">
        <f t="shared" si="7"/>
        <v>0</v>
      </c>
      <c r="F58" s="620">
        <f t="shared" si="3"/>
        <v>0</v>
      </c>
      <c r="G58" s="619">
        <f t="shared" si="4"/>
        <v>0</v>
      </c>
      <c r="H58" s="622">
        <f t="shared" si="5"/>
        <v>0</v>
      </c>
      <c r="I58" s="612"/>
      <c r="J58" s="612"/>
      <c r="K58" s="612">
        <f t="shared" si="0"/>
        <v>2025</v>
      </c>
      <c r="L58" s="612"/>
    </row>
    <row r="59" spans="1:12" x14ac:dyDescent="0.25">
      <c r="A59" s="482">
        <v>42906</v>
      </c>
      <c r="B59" s="505">
        <v>46042</v>
      </c>
      <c r="C59" s="618">
        <f>B59-B58</f>
        <v>31</v>
      </c>
      <c r="D59" s="619">
        <f t="shared" si="6"/>
        <v>0</v>
      </c>
      <c r="E59" s="619">
        <f t="shared" si="7"/>
        <v>0</v>
      </c>
      <c r="F59" s="620">
        <f>F58-D59</f>
        <v>0</v>
      </c>
      <c r="G59" s="619">
        <f t="shared" si="4"/>
        <v>0</v>
      </c>
      <c r="H59" s="622">
        <f t="shared" si="5"/>
        <v>0</v>
      </c>
      <c r="I59" s="612"/>
      <c r="J59" s="612"/>
      <c r="K59" s="612">
        <f t="shared" si="0"/>
        <v>2026</v>
      </c>
      <c r="L59" s="612"/>
    </row>
    <row r="60" spans="1:12" ht="15.75" thickBot="1" x14ac:dyDescent="0.3">
      <c r="A60" s="483">
        <v>42936</v>
      </c>
      <c r="B60" s="504">
        <v>46073</v>
      </c>
      <c r="C60" s="618">
        <f>B60-B59</f>
        <v>31</v>
      </c>
      <c r="D60" s="619">
        <f t="shared" si="6"/>
        <v>0</v>
      </c>
      <c r="E60" s="619">
        <f t="shared" si="7"/>
        <v>0</v>
      </c>
      <c r="F60" s="620">
        <f>F59-D60</f>
        <v>0</v>
      </c>
      <c r="G60" s="619">
        <f>D60+E60</f>
        <v>0</v>
      </c>
      <c r="H60" s="622">
        <f t="shared" si="5"/>
        <v>0</v>
      </c>
      <c r="I60" s="612"/>
      <c r="J60" s="612"/>
      <c r="K60" s="612">
        <f t="shared" si="0"/>
        <v>2026</v>
      </c>
      <c r="L60" s="612"/>
    </row>
    <row r="61" spans="1:12" x14ac:dyDescent="0.25">
      <c r="A61" s="482">
        <v>42967</v>
      </c>
      <c r="B61" s="505">
        <v>46101</v>
      </c>
      <c r="C61" s="618">
        <f>B61-B60</f>
        <v>28</v>
      </c>
      <c r="D61" s="619">
        <f t="shared" si="6"/>
        <v>0</v>
      </c>
      <c r="E61" s="619">
        <f t="shared" si="7"/>
        <v>0</v>
      </c>
      <c r="F61" s="620">
        <f>F60-D61</f>
        <v>0</v>
      </c>
      <c r="G61" s="619">
        <f t="shared" si="4"/>
        <v>0</v>
      </c>
      <c r="H61" s="622">
        <f t="shared" si="5"/>
        <v>0</v>
      </c>
      <c r="I61" s="612"/>
      <c r="J61" s="612"/>
      <c r="K61" s="612">
        <f t="shared" si="0"/>
        <v>2026</v>
      </c>
      <c r="L61" s="612"/>
    </row>
    <row r="62" spans="1:12" ht="15.75" thickBot="1" x14ac:dyDescent="0.3">
      <c r="A62" s="483">
        <v>42998</v>
      </c>
      <c r="B62" s="504">
        <v>46132</v>
      </c>
      <c r="C62" s="618">
        <f t="shared" si="1"/>
        <v>31</v>
      </c>
      <c r="D62" s="619">
        <f t="shared" si="6"/>
        <v>0</v>
      </c>
      <c r="E62" s="619">
        <f t="shared" si="7"/>
        <v>0</v>
      </c>
      <c r="F62" s="620">
        <f t="shared" ref="F62:F102" si="8">F61-D62</f>
        <v>0</v>
      </c>
      <c r="G62" s="619">
        <f t="shared" si="4"/>
        <v>0</v>
      </c>
      <c r="H62" s="622">
        <f t="shared" si="5"/>
        <v>0</v>
      </c>
      <c r="I62" s="612"/>
      <c r="J62" s="612"/>
      <c r="K62" s="612">
        <f t="shared" si="0"/>
        <v>2026</v>
      </c>
      <c r="L62" s="612"/>
    </row>
    <row r="63" spans="1:12" x14ac:dyDescent="0.25">
      <c r="A63" s="482">
        <v>43028</v>
      </c>
      <c r="B63" s="505">
        <v>46162</v>
      </c>
      <c r="C63" s="618">
        <f t="shared" si="1"/>
        <v>30</v>
      </c>
      <c r="D63" s="619">
        <f t="shared" si="6"/>
        <v>0</v>
      </c>
      <c r="E63" s="619">
        <f t="shared" si="7"/>
        <v>0</v>
      </c>
      <c r="F63" s="620">
        <f t="shared" si="8"/>
        <v>0</v>
      </c>
      <c r="G63" s="619">
        <f t="shared" si="4"/>
        <v>0</v>
      </c>
      <c r="H63" s="622">
        <f t="shared" si="5"/>
        <v>0</v>
      </c>
      <c r="I63" s="612"/>
      <c r="J63" s="612"/>
      <c r="K63" s="612">
        <f t="shared" si="0"/>
        <v>2026</v>
      </c>
      <c r="L63" s="612"/>
    </row>
    <row r="64" spans="1:12" ht="15.75" thickBot="1" x14ac:dyDescent="0.3">
      <c r="A64" s="483">
        <v>43059</v>
      </c>
      <c r="B64" s="504">
        <v>46193</v>
      </c>
      <c r="C64" s="618">
        <f t="shared" si="1"/>
        <v>31</v>
      </c>
      <c r="D64" s="619">
        <f t="shared" si="6"/>
        <v>0</v>
      </c>
      <c r="E64" s="619">
        <f t="shared" si="7"/>
        <v>0</v>
      </c>
      <c r="F64" s="620">
        <f t="shared" si="8"/>
        <v>0</v>
      </c>
      <c r="G64" s="619">
        <f t="shared" si="4"/>
        <v>0</v>
      </c>
      <c r="H64" s="622">
        <f t="shared" si="5"/>
        <v>0</v>
      </c>
      <c r="I64" s="612"/>
      <c r="J64" s="612"/>
      <c r="K64" s="612">
        <f t="shared" si="0"/>
        <v>2026</v>
      </c>
      <c r="L64" s="612"/>
    </row>
    <row r="65" spans="1:12" x14ac:dyDescent="0.25">
      <c r="A65" s="482">
        <v>43089</v>
      </c>
      <c r="B65" s="505">
        <v>46223</v>
      </c>
      <c r="C65" s="618">
        <f t="shared" si="1"/>
        <v>30</v>
      </c>
      <c r="D65" s="619">
        <f t="shared" si="6"/>
        <v>0</v>
      </c>
      <c r="E65" s="619">
        <f t="shared" si="7"/>
        <v>0</v>
      </c>
      <c r="F65" s="620">
        <f t="shared" si="8"/>
        <v>0</v>
      </c>
      <c r="G65" s="619">
        <f t="shared" si="4"/>
        <v>0</v>
      </c>
      <c r="H65" s="622">
        <f t="shared" si="5"/>
        <v>0</v>
      </c>
      <c r="I65" s="612"/>
      <c r="J65" s="612"/>
      <c r="K65" s="612">
        <f t="shared" si="0"/>
        <v>2026</v>
      </c>
      <c r="L65" s="612"/>
    </row>
    <row r="66" spans="1:12" ht="15.75" thickBot="1" x14ac:dyDescent="0.3">
      <c r="A66" s="483">
        <v>43120</v>
      </c>
      <c r="B66" s="504">
        <v>46254</v>
      </c>
      <c r="C66" s="618">
        <f t="shared" si="1"/>
        <v>31</v>
      </c>
      <c r="D66" s="619">
        <f t="shared" si="6"/>
        <v>0</v>
      </c>
      <c r="E66" s="619">
        <f t="shared" si="7"/>
        <v>0</v>
      </c>
      <c r="F66" s="620">
        <f>F65-D66</f>
        <v>0</v>
      </c>
      <c r="G66" s="619">
        <f t="shared" si="4"/>
        <v>0</v>
      </c>
      <c r="H66" s="622">
        <f t="shared" si="5"/>
        <v>0</v>
      </c>
      <c r="I66" s="612"/>
      <c r="J66" s="612"/>
      <c r="K66" s="612">
        <f t="shared" si="0"/>
        <v>2026</v>
      </c>
      <c r="L66" s="612"/>
    </row>
    <row r="67" spans="1:12" x14ac:dyDescent="0.25">
      <c r="A67" s="482">
        <v>43151</v>
      </c>
      <c r="B67" s="505">
        <v>46285</v>
      </c>
      <c r="C67" s="618">
        <f t="shared" si="1"/>
        <v>31</v>
      </c>
      <c r="D67" s="619">
        <f t="shared" si="6"/>
        <v>0</v>
      </c>
      <c r="E67" s="619">
        <f t="shared" si="7"/>
        <v>0</v>
      </c>
      <c r="F67" s="620">
        <f t="shared" si="8"/>
        <v>0</v>
      </c>
      <c r="G67" s="619">
        <f t="shared" si="4"/>
        <v>0</v>
      </c>
      <c r="H67" s="622">
        <f t="shared" si="5"/>
        <v>0</v>
      </c>
      <c r="I67" s="617">
        <f>SUMIF(K$42:K$162,L67,D$42:D$162)</f>
        <v>0</v>
      </c>
      <c r="J67" s="617">
        <f>SUMIF(K$42:K$162,L67,E$42:E$162)</f>
        <v>0</v>
      </c>
      <c r="K67" s="612">
        <f t="shared" si="0"/>
        <v>2026</v>
      </c>
      <c r="L67" s="612">
        <f>L55+1</f>
        <v>2026</v>
      </c>
    </row>
    <row r="68" spans="1:12" ht="15.75" thickBot="1" x14ac:dyDescent="0.3">
      <c r="A68" s="483">
        <v>43179</v>
      </c>
      <c r="B68" s="504">
        <v>46315</v>
      </c>
      <c r="C68" s="618">
        <f t="shared" si="1"/>
        <v>30</v>
      </c>
      <c r="D68" s="619">
        <f t="shared" si="6"/>
        <v>0</v>
      </c>
      <c r="E68" s="619">
        <f t="shared" si="7"/>
        <v>0</v>
      </c>
      <c r="F68" s="620">
        <f t="shared" si="8"/>
        <v>0</v>
      </c>
      <c r="G68" s="619">
        <f t="shared" si="4"/>
        <v>0</v>
      </c>
      <c r="H68" s="622">
        <f t="shared" si="5"/>
        <v>0</v>
      </c>
      <c r="I68" s="612"/>
      <c r="J68" s="612"/>
      <c r="K68" s="612">
        <f t="shared" si="0"/>
        <v>2026</v>
      </c>
      <c r="L68" s="612"/>
    </row>
    <row r="69" spans="1:12" x14ac:dyDescent="0.25">
      <c r="A69" s="482">
        <v>43210</v>
      </c>
      <c r="B69" s="505">
        <v>46346</v>
      </c>
      <c r="C69" s="618">
        <f t="shared" si="1"/>
        <v>31</v>
      </c>
      <c r="D69" s="619">
        <f t="shared" si="6"/>
        <v>0</v>
      </c>
      <c r="E69" s="619">
        <f t="shared" si="7"/>
        <v>0</v>
      </c>
      <c r="F69" s="620">
        <f t="shared" si="8"/>
        <v>0</v>
      </c>
      <c r="G69" s="619">
        <f t="shared" si="4"/>
        <v>0</v>
      </c>
      <c r="H69" s="622">
        <f t="shared" si="5"/>
        <v>0</v>
      </c>
      <c r="I69" s="612"/>
      <c r="J69" s="612"/>
      <c r="K69" s="612">
        <f t="shared" si="0"/>
        <v>2026</v>
      </c>
      <c r="L69" s="612"/>
    </row>
    <row r="70" spans="1:12" ht="15.75" thickBot="1" x14ac:dyDescent="0.3">
      <c r="A70" s="483">
        <v>43240</v>
      </c>
      <c r="B70" s="504">
        <v>46376</v>
      </c>
      <c r="C70" s="618">
        <f t="shared" si="1"/>
        <v>30</v>
      </c>
      <c r="D70" s="619">
        <f t="shared" si="6"/>
        <v>0</v>
      </c>
      <c r="E70" s="619">
        <f t="shared" si="7"/>
        <v>0</v>
      </c>
      <c r="F70" s="620">
        <f t="shared" si="8"/>
        <v>0</v>
      </c>
      <c r="G70" s="619">
        <f t="shared" si="4"/>
        <v>0</v>
      </c>
      <c r="H70" s="622">
        <f t="shared" si="5"/>
        <v>0</v>
      </c>
      <c r="I70" s="612"/>
      <c r="J70" s="612"/>
      <c r="K70" s="612">
        <f t="shared" si="0"/>
        <v>2026</v>
      </c>
      <c r="L70" s="612"/>
    </row>
    <row r="71" spans="1:12" x14ac:dyDescent="0.25">
      <c r="A71" s="482">
        <v>43271</v>
      </c>
      <c r="B71" s="505">
        <v>46407</v>
      </c>
      <c r="C71" s="618">
        <f t="shared" si="1"/>
        <v>31</v>
      </c>
      <c r="D71" s="619">
        <f t="shared" si="6"/>
        <v>0</v>
      </c>
      <c r="E71" s="619">
        <f t="shared" si="7"/>
        <v>0</v>
      </c>
      <c r="F71" s="620">
        <f t="shared" si="8"/>
        <v>0</v>
      </c>
      <c r="G71" s="619">
        <f t="shared" si="4"/>
        <v>0</v>
      </c>
      <c r="H71" s="622">
        <f t="shared" si="5"/>
        <v>0</v>
      </c>
      <c r="I71" s="612"/>
      <c r="J71" s="612"/>
      <c r="K71" s="612">
        <f t="shared" si="0"/>
        <v>2027</v>
      </c>
      <c r="L71" s="612"/>
    </row>
    <row r="72" spans="1:12" ht="15.75" thickBot="1" x14ac:dyDescent="0.3">
      <c r="A72" s="483">
        <v>43301</v>
      </c>
      <c r="B72" s="504">
        <v>46438</v>
      </c>
      <c r="C72" s="618">
        <f t="shared" si="1"/>
        <v>31</v>
      </c>
      <c r="D72" s="619">
        <f t="shared" si="6"/>
        <v>0</v>
      </c>
      <c r="E72" s="619">
        <f t="shared" si="7"/>
        <v>0</v>
      </c>
      <c r="F72" s="620">
        <f t="shared" si="8"/>
        <v>0</v>
      </c>
      <c r="G72" s="619">
        <f t="shared" si="4"/>
        <v>0</v>
      </c>
      <c r="H72" s="622">
        <f t="shared" si="5"/>
        <v>0</v>
      </c>
      <c r="I72" s="612"/>
      <c r="J72" s="612"/>
      <c r="K72" s="612">
        <f t="shared" si="0"/>
        <v>2027</v>
      </c>
      <c r="L72" s="612"/>
    </row>
    <row r="73" spans="1:12" x14ac:dyDescent="0.25">
      <c r="A73" s="482">
        <v>43332</v>
      </c>
      <c r="B73" s="505">
        <v>46466</v>
      </c>
      <c r="C73" s="618">
        <f t="shared" si="1"/>
        <v>28</v>
      </c>
      <c r="D73" s="619">
        <f t="shared" si="6"/>
        <v>0</v>
      </c>
      <c r="E73" s="619">
        <f t="shared" si="7"/>
        <v>0</v>
      </c>
      <c r="F73" s="620">
        <f t="shared" si="8"/>
        <v>0</v>
      </c>
      <c r="G73" s="619">
        <f t="shared" si="4"/>
        <v>0</v>
      </c>
      <c r="H73" s="622">
        <f t="shared" si="5"/>
        <v>0</v>
      </c>
      <c r="I73" s="612"/>
      <c r="J73" s="612"/>
      <c r="K73" s="612">
        <f t="shared" si="0"/>
        <v>2027</v>
      </c>
      <c r="L73" s="612"/>
    </row>
    <row r="74" spans="1:12" ht="15.75" thickBot="1" x14ac:dyDescent="0.3">
      <c r="A74" s="483">
        <v>43363</v>
      </c>
      <c r="B74" s="504">
        <v>46497</v>
      </c>
      <c r="C74" s="618">
        <f t="shared" si="1"/>
        <v>31</v>
      </c>
      <c r="D74" s="619">
        <f t="shared" si="6"/>
        <v>0</v>
      </c>
      <c r="E74" s="619">
        <f t="shared" si="7"/>
        <v>0</v>
      </c>
      <c r="F74" s="620">
        <f t="shared" si="8"/>
        <v>0</v>
      </c>
      <c r="G74" s="619">
        <f t="shared" si="4"/>
        <v>0</v>
      </c>
      <c r="H74" s="622">
        <f t="shared" si="5"/>
        <v>0</v>
      </c>
      <c r="I74" s="612"/>
      <c r="J74" s="612"/>
      <c r="K74" s="612">
        <f t="shared" si="0"/>
        <v>2027</v>
      </c>
      <c r="L74" s="612"/>
    </row>
    <row r="75" spans="1:12" x14ac:dyDescent="0.25">
      <c r="A75" s="482">
        <v>43393</v>
      </c>
      <c r="B75" s="505">
        <v>46527</v>
      </c>
      <c r="C75" s="618">
        <f t="shared" si="1"/>
        <v>30</v>
      </c>
      <c r="D75" s="619">
        <f t="shared" si="6"/>
        <v>0</v>
      </c>
      <c r="E75" s="619">
        <f t="shared" si="7"/>
        <v>0</v>
      </c>
      <c r="F75" s="620">
        <f t="shared" si="8"/>
        <v>0</v>
      </c>
      <c r="G75" s="619">
        <f t="shared" si="4"/>
        <v>0</v>
      </c>
      <c r="H75" s="622">
        <f t="shared" si="5"/>
        <v>0</v>
      </c>
      <c r="I75" s="612"/>
      <c r="J75" s="612"/>
      <c r="K75" s="612">
        <f t="shared" si="0"/>
        <v>2027</v>
      </c>
      <c r="L75" s="612"/>
    </row>
    <row r="76" spans="1:12" ht="15.75" thickBot="1" x14ac:dyDescent="0.3">
      <c r="A76" s="483">
        <v>43424</v>
      </c>
      <c r="B76" s="504">
        <v>46558</v>
      </c>
      <c r="C76" s="618">
        <f t="shared" si="1"/>
        <v>31</v>
      </c>
      <c r="D76" s="619">
        <f t="shared" si="6"/>
        <v>0</v>
      </c>
      <c r="E76" s="619">
        <f t="shared" si="7"/>
        <v>0</v>
      </c>
      <c r="F76" s="620">
        <f t="shared" si="8"/>
        <v>0</v>
      </c>
      <c r="G76" s="619">
        <f t="shared" si="4"/>
        <v>0</v>
      </c>
      <c r="H76" s="622">
        <f t="shared" si="5"/>
        <v>0</v>
      </c>
      <c r="I76" s="612"/>
      <c r="J76" s="612"/>
      <c r="K76" s="612">
        <f t="shared" si="0"/>
        <v>2027</v>
      </c>
      <c r="L76" s="612"/>
    </row>
    <row r="77" spans="1:12" x14ac:dyDescent="0.25">
      <c r="A77" s="482">
        <v>43454</v>
      </c>
      <c r="B77" s="505">
        <v>46588</v>
      </c>
      <c r="C77" s="618">
        <f t="shared" si="1"/>
        <v>30</v>
      </c>
      <c r="D77" s="619">
        <f t="shared" si="6"/>
        <v>0</v>
      </c>
      <c r="E77" s="619">
        <f t="shared" si="7"/>
        <v>0</v>
      </c>
      <c r="F77" s="620">
        <f t="shared" si="8"/>
        <v>0</v>
      </c>
      <c r="G77" s="619">
        <f t="shared" si="4"/>
        <v>0</v>
      </c>
      <c r="H77" s="622">
        <f t="shared" si="5"/>
        <v>0</v>
      </c>
      <c r="I77" s="612"/>
      <c r="J77" s="612"/>
      <c r="K77" s="612">
        <f t="shared" si="0"/>
        <v>2027</v>
      </c>
      <c r="L77" s="612"/>
    </row>
    <row r="78" spans="1:12" ht="15.75" thickBot="1" x14ac:dyDescent="0.3">
      <c r="A78" s="483">
        <v>43485</v>
      </c>
      <c r="B78" s="504">
        <v>46619</v>
      </c>
      <c r="C78" s="618">
        <f t="shared" si="1"/>
        <v>31</v>
      </c>
      <c r="D78" s="619">
        <f t="shared" si="6"/>
        <v>0</v>
      </c>
      <c r="E78" s="619">
        <f t="shared" si="7"/>
        <v>0</v>
      </c>
      <c r="F78" s="620">
        <f>F77-D78</f>
        <v>0</v>
      </c>
      <c r="G78" s="619">
        <f t="shared" si="4"/>
        <v>0</v>
      </c>
      <c r="H78" s="622">
        <f t="shared" si="5"/>
        <v>0</v>
      </c>
      <c r="I78" s="612"/>
      <c r="J78" s="612"/>
      <c r="K78" s="612">
        <f t="shared" si="0"/>
        <v>2027</v>
      </c>
      <c r="L78" s="612"/>
    </row>
    <row r="79" spans="1:12" x14ac:dyDescent="0.25">
      <c r="A79" s="482">
        <v>43516</v>
      </c>
      <c r="B79" s="505">
        <v>46650</v>
      </c>
      <c r="C79" s="618">
        <f t="shared" si="1"/>
        <v>31</v>
      </c>
      <c r="D79" s="619">
        <f t="shared" si="6"/>
        <v>0</v>
      </c>
      <c r="E79" s="619">
        <f t="shared" si="7"/>
        <v>0</v>
      </c>
      <c r="F79" s="620">
        <f t="shared" si="8"/>
        <v>0</v>
      </c>
      <c r="G79" s="619">
        <f t="shared" si="4"/>
        <v>0</v>
      </c>
      <c r="H79" s="622">
        <f t="shared" si="5"/>
        <v>0</v>
      </c>
      <c r="I79" s="617">
        <f>SUMIF(K$42:K$162,L79,D$42:D$162)</f>
        <v>0</v>
      </c>
      <c r="J79" s="617">
        <f>SUMIF(K$42:K$162,L79,E$42:E$162)</f>
        <v>0</v>
      </c>
      <c r="K79" s="612">
        <f t="shared" si="0"/>
        <v>2027</v>
      </c>
      <c r="L79" s="612">
        <f>L67+1</f>
        <v>2027</v>
      </c>
    </row>
    <row r="80" spans="1:12" ht="15.75" thickBot="1" x14ac:dyDescent="0.3">
      <c r="A80" s="483">
        <v>43544</v>
      </c>
      <c r="B80" s="504">
        <v>46680</v>
      </c>
      <c r="C80" s="618">
        <f t="shared" si="1"/>
        <v>30</v>
      </c>
      <c r="D80" s="619">
        <f t="shared" si="6"/>
        <v>0</v>
      </c>
      <c r="E80" s="619">
        <f t="shared" si="7"/>
        <v>0</v>
      </c>
      <c r="F80" s="620">
        <f t="shared" si="8"/>
        <v>0</v>
      </c>
      <c r="G80" s="619">
        <f t="shared" si="4"/>
        <v>0</v>
      </c>
      <c r="H80" s="622">
        <f t="shared" si="5"/>
        <v>0</v>
      </c>
      <c r="I80" s="612"/>
      <c r="J80" s="612"/>
      <c r="K80" s="612">
        <f t="shared" si="0"/>
        <v>2027</v>
      </c>
      <c r="L80" s="612"/>
    </row>
    <row r="81" spans="1:12" x14ac:dyDescent="0.25">
      <c r="A81" s="482">
        <v>43575</v>
      </c>
      <c r="B81" s="505">
        <v>46711</v>
      </c>
      <c r="C81" s="618">
        <f t="shared" si="1"/>
        <v>31</v>
      </c>
      <c r="D81" s="619">
        <f t="shared" si="6"/>
        <v>0</v>
      </c>
      <c r="E81" s="619">
        <f t="shared" si="7"/>
        <v>0</v>
      </c>
      <c r="F81" s="620">
        <f t="shared" si="8"/>
        <v>0</v>
      </c>
      <c r="G81" s="619">
        <f t="shared" si="4"/>
        <v>0</v>
      </c>
      <c r="H81" s="622">
        <f t="shared" si="5"/>
        <v>0</v>
      </c>
      <c r="I81" s="612"/>
      <c r="J81" s="612"/>
      <c r="K81" s="612">
        <f t="shared" si="0"/>
        <v>2027</v>
      </c>
      <c r="L81" s="612"/>
    </row>
    <row r="82" spans="1:12" ht="15.75" thickBot="1" x14ac:dyDescent="0.3">
      <c r="A82" s="483">
        <v>43605</v>
      </c>
      <c r="B82" s="504">
        <v>46741</v>
      </c>
      <c r="C82" s="618">
        <f t="shared" si="1"/>
        <v>30</v>
      </c>
      <c r="D82" s="619">
        <f t="shared" si="6"/>
        <v>0</v>
      </c>
      <c r="E82" s="619">
        <f t="shared" si="7"/>
        <v>0</v>
      </c>
      <c r="F82" s="620">
        <f t="shared" si="8"/>
        <v>0</v>
      </c>
      <c r="G82" s="619">
        <f t="shared" si="4"/>
        <v>0</v>
      </c>
      <c r="H82" s="622">
        <f t="shared" si="5"/>
        <v>0</v>
      </c>
      <c r="I82" s="612"/>
      <c r="J82" s="612"/>
      <c r="K82" s="612">
        <f t="shared" si="0"/>
        <v>2027</v>
      </c>
      <c r="L82" s="612"/>
    </row>
    <row r="83" spans="1:12" x14ac:dyDescent="0.25">
      <c r="A83" s="482">
        <v>43636</v>
      </c>
      <c r="B83" s="505">
        <v>46772</v>
      </c>
      <c r="C83" s="618">
        <f t="shared" si="1"/>
        <v>31</v>
      </c>
      <c r="D83" s="619">
        <f t="shared" si="6"/>
        <v>0</v>
      </c>
      <c r="E83" s="619">
        <f t="shared" si="7"/>
        <v>0</v>
      </c>
      <c r="F83" s="620">
        <f t="shared" si="8"/>
        <v>0</v>
      </c>
      <c r="G83" s="619">
        <f t="shared" si="4"/>
        <v>0</v>
      </c>
      <c r="H83" s="622">
        <f t="shared" si="5"/>
        <v>0</v>
      </c>
      <c r="I83" s="612"/>
      <c r="J83" s="612"/>
      <c r="K83" s="612">
        <f t="shared" si="0"/>
        <v>2028</v>
      </c>
      <c r="L83" s="612"/>
    </row>
    <row r="84" spans="1:12" ht="15.75" thickBot="1" x14ac:dyDescent="0.3">
      <c r="A84" s="483">
        <v>43666</v>
      </c>
      <c r="B84" s="504">
        <v>46803</v>
      </c>
      <c r="C84" s="618">
        <f t="shared" si="1"/>
        <v>31</v>
      </c>
      <c r="D84" s="619">
        <f t="shared" si="6"/>
        <v>0</v>
      </c>
      <c r="E84" s="619">
        <f t="shared" si="7"/>
        <v>0</v>
      </c>
      <c r="F84" s="620">
        <f t="shared" si="8"/>
        <v>0</v>
      </c>
      <c r="G84" s="619">
        <f t="shared" si="4"/>
        <v>0</v>
      </c>
      <c r="H84" s="622">
        <f t="shared" si="5"/>
        <v>0</v>
      </c>
      <c r="I84" s="612"/>
      <c r="J84" s="612"/>
      <c r="K84" s="612">
        <f t="shared" si="0"/>
        <v>2028</v>
      </c>
      <c r="L84" s="612"/>
    </row>
    <row r="85" spans="1:12" x14ac:dyDescent="0.25">
      <c r="A85" s="482">
        <v>43697</v>
      </c>
      <c r="B85" s="505">
        <v>46832</v>
      </c>
      <c r="C85" s="618">
        <f t="shared" si="1"/>
        <v>29</v>
      </c>
      <c r="D85" s="619">
        <f t="shared" si="6"/>
        <v>0</v>
      </c>
      <c r="E85" s="619">
        <f t="shared" si="7"/>
        <v>0</v>
      </c>
      <c r="F85" s="620">
        <f t="shared" si="8"/>
        <v>0</v>
      </c>
      <c r="G85" s="619">
        <f t="shared" si="4"/>
        <v>0</v>
      </c>
      <c r="H85" s="622">
        <f t="shared" si="5"/>
        <v>0</v>
      </c>
      <c r="I85" s="612"/>
      <c r="J85" s="612"/>
      <c r="K85" s="612">
        <f t="shared" si="0"/>
        <v>2028</v>
      </c>
      <c r="L85" s="612"/>
    </row>
    <row r="86" spans="1:12" ht="15.75" thickBot="1" x14ac:dyDescent="0.3">
      <c r="A86" s="483">
        <v>43728</v>
      </c>
      <c r="B86" s="504">
        <v>46863</v>
      </c>
      <c r="C86" s="618">
        <f t="shared" si="1"/>
        <v>31</v>
      </c>
      <c r="D86" s="619">
        <f t="shared" si="6"/>
        <v>0</v>
      </c>
      <c r="E86" s="619">
        <f t="shared" si="7"/>
        <v>0</v>
      </c>
      <c r="F86" s="620">
        <f t="shared" si="8"/>
        <v>0</v>
      </c>
      <c r="G86" s="619">
        <f t="shared" si="4"/>
        <v>0</v>
      </c>
      <c r="H86" s="622">
        <f t="shared" si="5"/>
        <v>0</v>
      </c>
      <c r="I86" s="612"/>
      <c r="J86" s="612"/>
      <c r="K86" s="612">
        <f t="shared" si="0"/>
        <v>2028</v>
      </c>
      <c r="L86" s="612"/>
    </row>
    <row r="87" spans="1:12" x14ac:dyDescent="0.25">
      <c r="A87" s="482">
        <v>43758</v>
      </c>
      <c r="B87" s="505">
        <v>46893</v>
      </c>
      <c r="C87" s="618">
        <f t="shared" si="1"/>
        <v>30</v>
      </c>
      <c r="D87" s="619">
        <f t="shared" si="6"/>
        <v>0</v>
      </c>
      <c r="E87" s="619">
        <f t="shared" si="7"/>
        <v>0</v>
      </c>
      <c r="F87" s="620">
        <f t="shared" si="8"/>
        <v>0</v>
      </c>
      <c r="G87" s="619">
        <f t="shared" si="4"/>
        <v>0</v>
      </c>
      <c r="H87" s="622">
        <f t="shared" si="5"/>
        <v>0</v>
      </c>
      <c r="I87" s="612"/>
      <c r="J87" s="612"/>
      <c r="K87" s="612">
        <f t="shared" si="0"/>
        <v>2028</v>
      </c>
      <c r="L87" s="612"/>
    </row>
    <row r="88" spans="1:12" ht="15.75" thickBot="1" x14ac:dyDescent="0.3">
      <c r="A88" s="483">
        <v>43789</v>
      </c>
      <c r="B88" s="504">
        <v>46924</v>
      </c>
      <c r="C88" s="618">
        <f t="shared" si="1"/>
        <v>31</v>
      </c>
      <c r="D88" s="619">
        <f t="shared" si="6"/>
        <v>0</v>
      </c>
      <c r="E88" s="619">
        <f t="shared" si="7"/>
        <v>0</v>
      </c>
      <c r="F88" s="620">
        <f t="shared" si="8"/>
        <v>0</v>
      </c>
      <c r="G88" s="619">
        <f t="shared" si="4"/>
        <v>0</v>
      </c>
      <c r="H88" s="622">
        <f t="shared" si="5"/>
        <v>0</v>
      </c>
      <c r="I88" s="612"/>
      <c r="J88" s="612"/>
      <c r="K88" s="612">
        <f t="shared" si="0"/>
        <v>2028</v>
      </c>
      <c r="L88" s="612"/>
    </row>
    <row r="89" spans="1:12" x14ac:dyDescent="0.25">
      <c r="A89" s="482">
        <v>43819</v>
      </c>
      <c r="B89" s="505">
        <v>46954</v>
      </c>
      <c r="C89" s="618">
        <f t="shared" si="1"/>
        <v>30</v>
      </c>
      <c r="D89" s="619">
        <f t="shared" si="6"/>
        <v>0</v>
      </c>
      <c r="E89" s="619">
        <f t="shared" si="7"/>
        <v>0</v>
      </c>
      <c r="F89" s="620">
        <f t="shared" si="8"/>
        <v>0</v>
      </c>
      <c r="G89" s="619">
        <f t="shared" si="4"/>
        <v>0</v>
      </c>
      <c r="H89" s="622">
        <f t="shared" si="5"/>
        <v>0</v>
      </c>
      <c r="I89" s="612"/>
      <c r="J89" s="612"/>
      <c r="K89" s="612">
        <f t="shared" si="0"/>
        <v>2028</v>
      </c>
      <c r="L89" s="612"/>
    </row>
    <row r="90" spans="1:12" ht="15.75" thickBot="1" x14ac:dyDescent="0.3">
      <c r="A90" s="483">
        <v>43850</v>
      </c>
      <c r="B90" s="504">
        <v>46985</v>
      </c>
      <c r="C90" s="618">
        <f t="shared" si="1"/>
        <v>31</v>
      </c>
      <c r="D90" s="619">
        <f t="shared" si="6"/>
        <v>0</v>
      </c>
      <c r="E90" s="619">
        <f t="shared" si="7"/>
        <v>0</v>
      </c>
      <c r="F90" s="620">
        <f t="shared" si="8"/>
        <v>0</v>
      </c>
      <c r="G90" s="619">
        <f t="shared" si="4"/>
        <v>0</v>
      </c>
      <c r="H90" s="622">
        <f t="shared" si="5"/>
        <v>0</v>
      </c>
      <c r="I90" s="612"/>
      <c r="J90" s="612"/>
      <c r="K90" s="612">
        <f t="shared" si="0"/>
        <v>2028</v>
      </c>
      <c r="L90" s="612"/>
    </row>
    <row r="91" spans="1:12" x14ac:dyDescent="0.25">
      <c r="A91" s="482">
        <v>43881</v>
      </c>
      <c r="B91" s="505">
        <v>47016</v>
      </c>
      <c r="C91" s="618">
        <f t="shared" si="1"/>
        <v>31</v>
      </c>
      <c r="D91" s="619">
        <f t="shared" si="6"/>
        <v>0</v>
      </c>
      <c r="E91" s="619">
        <f t="shared" si="7"/>
        <v>0</v>
      </c>
      <c r="F91" s="620">
        <f t="shared" si="8"/>
        <v>0</v>
      </c>
      <c r="G91" s="619">
        <f t="shared" si="4"/>
        <v>0</v>
      </c>
      <c r="H91" s="622">
        <f t="shared" si="5"/>
        <v>0</v>
      </c>
      <c r="I91" s="617">
        <f>SUMIF(K$42:K$162,L91,D$42:D$162)</f>
        <v>0</v>
      </c>
      <c r="J91" s="617">
        <f>SUMIF(K$42:K$162,L91,E$42:E$162)</f>
        <v>0</v>
      </c>
      <c r="K91" s="612">
        <f t="shared" si="0"/>
        <v>2028</v>
      </c>
      <c r="L91" s="612">
        <f>L79+1</f>
        <v>2028</v>
      </c>
    </row>
    <row r="92" spans="1:12" ht="15.75" thickBot="1" x14ac:dyDescent="0.3">
      <c r="A92" s="483">
        <v>43910</v>
      </c>
      <c r="B92" s="504">
        <v>47046</v>
      </c>
      <c r="C92" s="618">
        <f t="shared" si="1"/>
        <v>30</v>
      </c>
      <c r="D92" s="619">
        <f t="shared" si="6"/>
        <v>0</v>
      </c>
      <c r="E92" s="619">
        <f t="shared" si="7"/>
        <v>0</v>
      </c>
      <c r="F92" s="620">
        <f t="shared" si="8"/>
        <v>0</v>
      </c>
      <c r="G92" s="619">
        <f t="shared" si="4"/>
        <v>0</v>
      </c>
      <c r="H92" s="622">
        <f t="shared" si="5"/>
        <v>0</v>
      </c>
      <c r="I92" s="612"/>
      <c r="J92" s="612"/>
      <c r="K92" s="612">
        <f t="shared" si="0"/>
        <v>2028</v>
      </c>
      <c r="L92" s="612"/>
    </row>
    <row r="93" spans="1:12" x14ac:dyDescent="0.25">
      <c r="A93" s="482">
        <v>43941</v>
      </c>
      <c r="B93" s="505">
        <v>47077</v>
      </c>
      <c r="C93" s="618">
        <f t="shared" si="1"/>
        <v>31</v>
      </c>
      <c r="D93" s="619">
        <f t="shared" si="6"/>
        <v>0</v>
      </c>
      <c r="E93" s="619">
        <f t="shared" si="7"/>
        <v>0</v>
      </c>
      <c r="F93" s="620">
        <f t="shared" si="8"/>
        <v>0</v>
      </c>
      <c r="G93" s="619">
        <f t="shared" si="4"/>
        <v>0</v>
      </c>
      <c r="H93" s="622">
        <f t="shared" si="5"/>
        <v>0</v>
      </c>
      <c r="I93" s="612"/>
      <c r="J93" s="612"/>
      <c r="K93" s="612">
        <f t="shared" si="0"/>
        <v>2028</v>
      </c>
      <c r="L93" s="612"/>
    </row>
    <row r="94" spans="1:12" ht="15.75" thickBot="1" x14ac:dyDescent="0.3">
      <c r="A94" s="483">
        <v>43971</v>
      </c>
      <c r="B94" s="504">
        <v>47107</v>
      </c>
      <c r="C94" s="618">
        <f t="shared" si="1"/>
        <v>30</v>
      </c>
      <c r="D94" s="619">
        <f t="shared" si="6"/>
        <v>0</v>
      </c>
      <c r="E94" s="619">
        <f t="shared" si="7"/>
        <v>0</v>
      </c>
      <c r="F94" s="620">
        <f t="shared" si="8"/>
        <v>0</v>
      </c>
      <c r="G94" s="619">
        <f t="shared" si="4"/>
        <v>0</v>
      </c>
      <c r="H94" s="622">
        <f t="shared" si="5"/>
        <v>0</v>
      </c>
      <c r="I94" s="612"/>
      <c r="J94" s="612"/>
      <c r="K94" s="612">
        <f t="shared" si="0"/>
        <v>2028</v>
      </c>
      <c r="L94" s="612"/>
    </row>
    <row r="95" spans="1:12" x14ac:dyDescent="0.25">
      <c r="A95" s="482">
        <v>44002</v>
      </c>
      <c r="B95" s="505">
        <v>47138</v>
      </c>
      <c r="C95" s="618">
        <f t="shared" si="1"/>
        <v>31</v>
      </c>
      <c r="D95" s="619">
        <f t="shared" si="6"/>
        <v>0</v>
      </c>
      <c r="E95" s="619">
        <f t="shared" si="7"/>
        <v>0</v>
      </c>
      <c r="F95" s="620">
        <f t="shared" si="8"/>
        <v>0</v>
      </c>
      <c r="G95" s="619">
        <f t="shared" si="4"/>
        <v>0</v>
      </c>
      <c r="H95" s="622">
        <f t="shared" si="5"/>
        <v>0</v>
      </c>
      <c r="I95" s="612"/>
      <c r="J95" s="612"/>
      <c r="K95" s="612">
        <f t="shared" si="0"/>
        <v>2029</v>
      </c>
      <c r="L95" s="612"/>
    </row>
    <row r="96" spans="1:12" ht="15.75" thickBot="1" x14ac:dyDescent="0.3">
      <c r="A96" s="483">
        <v>44032</v>
      </c>
      <c r="B96" s="504">
        <v>47169</v>
      </c>
      <c r="C96" s="618">
        <f t="shared" si="1"/>
        <v>31</v>
      </c>
      <c r="D96" s="619">
        <f t="shared" si="6"/>
        <v>0</v>
      </c>
      <c r="E96" s="619">
        <f t="shared" si="7"/>
        <v>0</v>
      </c>
      <c r="F96" s="620">
        <f t="shared" si="8"/>
        <v>0</v>
      </c>
      <c r="G96" s="619">
        <f t="shared" si="4"/>
        <v>0</v>
      </c>
      <c r="H96" s="622">
        <f t="shared" si="5"/>
        <v>0</v>
      </c>
      <c r="I96" s="612"/>
      <c r="J96" s="612"/>
      <c r="K96" s="612">
        <f t="shared" si="0"/>
        <v>2029</v>
      </c>
      <c r="L96" s="612"/>
    </row>
    <row r="97" spans="1:12" x14ac:dyDescent="0.25">
      <c r="A97" s="482">
        <v>44063</v>
      </c>
      <c r="B97" s="505">
        <v>47197</v>
      </c>
      <c r="C97" s="618">
        <f t="shared" si="1"/>
        <v>28</v>
      </c>
      <c r="D97" s="619">
        <f t="shared" si="6"/>
        <v>0</v>
      </c>
      <c r="E97" s="619">
        <f t="shared" si="7"/>
        <v>0</v>
      </c>
      <c r="F97" s="620">
        <f t="shared" si="8"/>
        <v>0</v>
      </c>
      <c r="G97" s="619">
        <f t="shared" si="4"/>
        <v>0</v>
      </c>
      <c r="H97" s="622">
        <f t="shared" si="5"/>
        <v>0</v>
      </c>
      <c r="I97" s="612"/>
      <c r="J97" s="612"/>
      <c r="K97" s="612">
        <f t="shared" si="0"/>
        <v>2029</v>
      </c>
      <c r="L97" s="612"/>
    </row>
    <row r="98" spans="1:12" ht="15.75" thickBot="1" x14ac:dyDescent="0.3">
      <c r="A98" s="483">
        <v>44094</v>
      </c>
      <c r="B98" s="504">
        <v>47228</v>
      </c>
      <c r="C98" s="618">
        <f t="shared" si="1"/>
        <v>31</v>
      </c>
      <c r="D98" s="619">
        <f t="shared" si="6"/>
        <v>0</v>
      </c>
      <c r="E98" s="619">
        <f t="shared" si="7"/>
        <v>0</v>
      </c>
      <c r="F98" s="620">
        <f t="shared" si="8"/>
        <v>0</v>
      </c>
      <c r="G98" s="619">
        <f t="shared" si="4"/>
        <v>0</v>
      </c>
      <c r="H98" s="622">
        <f t="shared" si="5"/>
        <v>0</v>
      </c>
      <c r="I98" s="612"/>
      <c r="J98" s="612"/>
      <c r="K98" s="612">
        <f t="shared" si="0"/>
        <v>2029</v>
      </c>
      <c r="L98" s="612"/>
    </row>
    <row r="99" spans="1:12" x14ac:dyDescent="0.25">
      <c r="A99" s="482">
        <v>44124</v>
      </c>
      <c r="B99" s="505">
        <v>47258</v>
      </c>
      <c r="C99" s="618">
        <f t="shared" si="1"/>
        <v>30</v>
      </c>
      <c r="D99" s="619">
        <f t="shared" si="6"/>
        <v>0</v>
      </c>
      <c r="E99" s="619">
        <f t="shared" si="7"/>
        <v>0</v>
      </c>
      <c r="F99" s="620">
        <f t="shared" si="8"/>
        <v>0</v>
      </c>
      <c r="G99" s="619">
        <f t="shared" si="4"/>
        <v>0</v>
      </c>
      <c r="H99" s="622">
        <f t="shared" si="5"/>
        <v>0</v>
      </c>
      <c r="I99" s="612"/>
      <c r="J99" s="612"/>
      <c r="K99" s="612">
        <f t="shared" si="0"/>
        <v>2029</v>
      </c>
      <c r="L99" s="612"/>
    </row>
    <row r="100" spans="1:12" ht="15.75" thickBot="1" x14ac:dyDescent="0.3">
      <c r="A100" s="483">
        <v>44155</v>
      </c>
      <c r="B100" s="504">
        <v>47289</v>
      </c>
      <c r="C100" s="618">
        <f t="shared" si="1"/>
        <v>31</v>
      </c>
      <c r="D100" s="619">
        <f t="shared" si="6"/>
        <v>0</v>
      </c>
      <c r="E100" s="619">
        <f t="shared" si="7"/>
        <v>0</v>
      </c>
      <c r="F100" s="620">
        <f t="shared" si="8"/>
        <v>0</v>
      </c>
      <c r="G100" s="619">
        <f t="shared" si="4"/>
        <v>0</v>
      </c>
      <c r="H100" s="622">
        <f t="shared" si="5"/>
        <v>0</v>
      </c>
      <c r="I100" s="612"/>
      <c r="J100" s="612"/>
      <c r="K100" s="612">
        <f t="shared" si="0"/>
        <v>2029</v>
      </c>
      <c r="L100" s="612"/>
    </row>
    <row r="101" spans="1:12" x14ac:dyDescent="0.25">
      <c r="A101" s="482">
        <v>44185</v>
      </c>
      <c r="B101" s="505">
        <v>47319</v>
      </c>
      <c r="C101" s="618">
        <f t="shared" si="1"/>
        <v>30</v>
      </c>
      <c r="D101" s="619">
        <f t="shared" si="6"/>
        <v>0</v>
      </c>
      <c r="E101" s="619">
        <f t="shared" si="7"/>
        <v>0</v>
      </c>
      <c r="F101" s="620">
        <f t="shared" si="8"/>
        <v>0</v>
      </c>
      <c r="G101" s="619">
        <f t="shared" si="4"/>
        <v>0</v>
      </c>
      <c r="H101" s="622">
        <f t="shared" si="5"/>
        <v>0</v>
      </c>
      <c r="I101" s="612"/>
      <c r="J101" s="612"/>
      <c r="K101" s="612">
        <f t="shared" si="0"/>
        <v>2029</v>
      </c>
      <c r="L101" s="612"/>
    </row>
    <row r="102" spans="1:12" ht="15.75" thickBot="1" x14ac:dyDescent="0.3">
      <c r="A102" s="483">
        <v>44216</v>
      </c>
      <c r="B102" s="504">
        <v>47350</v>
      </c>
      <c r="C102" s="618">
        <f t="shared" si="1"/>
        <v>31</v>
      </c>
      <c r="D102" s="619">
        <f t="shared" si="6"/>
        <v>0</v>
      </c>
      <c r="E102" s="619">
        <f t="shared" si="7"/>
        <v>0</v>
      </c>
      <c r="F102" s="620">
        <f t="shared" si="8"/>
        <v>0</v>
      </c>
      <c r="G102" s="619">
        <f t="shared" si="4"/>
        <v>0</v>
      </c>
      <c r="H102" s="622">
        <f t="shared" si="5"/>
        <v>0</v>
      </c>
      <c r="I102" s="617">
        <f>I42+I55+I67+I79+I91+I43</f>
        <v>0</v>
      </c>
      <c r="J102" s="617">
        <f>J43+J55+J67+J79+J91</f>
        <v>0</v>
      </c>
      <c r="K102" s="612">
        <f t="shared" si="0"/>
        <v>2029</v>
      </c>
      <c r="L102" s="612"/>
    </row>
    <row r="103" spans="1:12" x14ac:dyDescent="0.25">
      <c r="A103" s="482">
        <v>44247</v>
      </c>
      <c r="B103" s="505">
        <v>47381</v>
      </c>
      <c r="C103" s="618">
        <f>B103-B102</f>
        <v>31</v>
      </c>
      <c r="D103" s="619">
        <f t="shared" si="6"/>
        <v>0</v>
      </c>
      <c r="E103" s="619">
        <f t="shared" si="7"/>
        <v>0</v>
      </c>
      <c r="F103" s="620">
        <f>F102-D103</f>
        <v>0</v>
      </c>
      <c r="G103" s="619">
        <f>D103+E103</f>
        <v>0</v>
      </c>
      <c r="H103" s="622">
        <f t="shared" si="5"/>
        <v>0</v>
      </c>
      <c r="I103" s="617">
        <f>SUMIF(K$42:K$162,L103,D$42:D$162)</f>
        <v>0</v>
      </c>
      <c r="J103" s="617">
        <f>SUMIF(K$42:K$162,L103,E$42:E$162)</f>
        <v>0</v>
      </c>
      <c r="K103" s="612">
        <f t="shared" si="0"/>
        <v>2029</v>
      </c>
      <c r="L103" s="612">
        <f>L91+1</f>
        <v>2029</v>
      </c>
    </row>
    <row r="104" spans="1:12" ht="15.75" thickBot="1" x14ac:dyDescent="0.3">
      <c r="A104" s="483">
        <v>44275</v>
      </c>
      <c r="B104" s="504">
        <v>47411</v>
      </c>
      <c r="C104" s="618">
        <f t="shared" ref="C104:C118" si="9">B104-B103</f>
        <v>30</v>
      </c>
      <c r="D104" s="619">
        <f t="shared" si="6"/>
        <v>0</v>
      </c>
      <c r="E104" s="619">
        <f t="shared" si="7"/>
        <v>0</v>
      </c>
      <c r="F104" s="620">
        <f t="shared" ref="F104" si="10">F103-D104</f>
        <v>0</v>
      </c>
      <c r="G104" s="619">
        <f t="shared" ref="G104:G119" si="11">D104+E104</f>
        <v>0</v>
      </c>
      <c r="H104" s="622">
        <f t="shared" si="5"/>
        <v>0</v>
      </c>
      <c r="I104" s="612"/>
      <c r="J104" s="612"/>
      <c r="K104" s="612">
        <f t="shared" si="0"/>
        <v>2029</v>
      </c>
      <c r="L104" s="612"/>
    </row>
    <row r="105" spans="1:12" x14ac:dyDescent="0.25">
      <c r="A105" s="482">
        <v>44306</v>
      </c>
      <c r="B105" s="505">
        <v>47442</v>
      </c>
      <c r="C105" s="618">
        <f t="shared" si="9"/>
        <v>31</v>
      </c>
      <c r="D105" s="619">
        <f t="shared" si="6"/>
        <v>0</v>
      </c>
      <c r="E105" s="619">
        <f t="shared" si="7"/>
        <v>0</v>
      </c>
      <c r="F105" s="620">
        <f>F104-D105</f>
        <v>0</v>
      </c>
      <c r="G105" s="619">
        <f t="shared" si="11"/>
        <v>0</v>
      </c>
      <c r="H105" s="622">
        <f t="shared" si="5"/>
        <v>0</v>
      </c>
      <c r="I105" s="612"/>
      <c r="J105" s="612"/>
      <c r="K105" s="612">
        <f t="shared" si="0"/>
        <v>2029</v>
      </c>
      <c r="L105" s="612"/>
    </row>
    <row r="106" spans="1:12" ht="15.75" thickBot="1" x14ac:dyDescent="0.3">
      <c r="A106" s="483">
        <v>44336</v>
      </c>
      <c r="B106" s="504">
        <v>47472</v>
      </c>
      <c r="C106" s="618">
        <f t="shared" si="9"/>
        <v>30</v>
      </c>
      <c r="D106" s="619">
        <f t="shared" si="6"/>
        <v>0</v>
      </c>
      <c r="E106" s="619">
        <f t="shared" si="7"/>
        <v>0</v>
      </c>
      <c r="F106" s="620">
        <f t="shared" ref="F106" si="12">F105-D106</f>
        <v>0</v>
      </c>
      <c r="G106" s="619">
        <f t="shared" si="11"/>
        <v>0</v>
      </c>
      <c r="H106" s="622">
        <f t="shared" si="5"/>
        <v>0</v>
      </c>
      <c r="I106" s="612"/>
      <c r="J106" s="612"/>
      <c r="K106" s="612">
        <f t="shared" si="0"/>
        <v>2029</v>
      </c>
      <c r="L106" s="612"/>
    </row>
    <row r="107" spans="1:12" x14ac:dyDescent="0.25">
      <c r="A107" s="482">
        <v>44367</v>
      </c>
      <c r="B107" s="505">
        <v>47503</v>
      </c>
      <c r="C107" s="618">
        <f t="shared" si="9"/>
        <v>31</v>
      </c>
      <c r="D107" s="619">
        <f t="shared" si="6"/>
        <v>0</v>
      </c>
      <c r="E107" s="619">
        <f t="shared" si="7"/>
        <v>0</v>
      </c>
      <c r="F107" s="620">
        <f>F106-D107</f>
        <v>0</v>
      </c>
      <c r="G107" s="619">
        <f t="shared" si="11"/>
        <v>0</v>
      </c>
      <c r="H107" s="622">
        <f t="shared" si="5"/>
        <v>0</v>
      </c>
      <c r="I107" s="612"/>
      <c r="J107" s="612"/>
      <c r="K107" s="612">
        <f t="shared" ref="K107:K163" si="13">YEAR(B107)</f>
        <v>2030</v>
      </c>
      <c r="L107" s="612"/>
    </row>
    <row r="108" spans="1:12" ht="15.75" thickBot="1" x14ac:dyDescent="0.3">
      <c r="A108" s="483">
        <v>44397</v>
      </c>
      <c r="B108" s="504">
        <v>47534</v>
      </c>
      <c r="C108" s="618">
        <f t="shared" si="9"/>
        <v>31</v>
      </c>
      <c r="D108" s="619">
        <f t="shared" si="6"/>
        <v>0</v>
      </c>
      <c r="E108" s="619">
        <f t="shared" si="7"/>
        <v>0</v>
      </c>
      <c r="F108" s="620">
        <f>F107-D108</f>
        <v>0</v>
      </c>
      <c r="G108" s="619">
        <f t="shared" si="11"/>
        <v>0</v>
      </c>
      <c r="H108" s="622">
        <f t="shared" ref="H108:H171" si="14">$H$43</f>
        <v>0</v>
      </c>
      <c r="I108" s="612"/>
      <c r="J108" s="612"/>
      <c r="K108" s="612">
        <f t="shared" si="13"/>
        <v>2030</v>
      </c>
      <c r="L108" s="612"/>
    </row>
    <row r="109" spans="1:12" x14ac:dyDescent="0.25">
      <c r="A109" s="482">
        <v>44428</v>
      </c>
      <c r="B109" s="505">
        <v>47562</v>
      </c>
      <c r="C109" s="618">
        <f t="shared" si="9"/>
        <v>28</v>
      </c>
      <c r="D109" s="619">
        <f t="shared" si="6"/>
        <v>0</v>
      </c>
      <c r="E109" s="619">
        <f t="shared" si="7"/>
        <v>0</v>
      </c>
      <c r="F109" s="620">
        <f t="shared" ref="F109:F113" si="15">F108-D109</f>
        <v>0</v>
      </c>
      <c r="G109" s="619">
        <f t="shared" si="11"/>
        <v>0</v>
      </c>
      <c r="H109" s="622">
        <f t="shared" si="14"/>
        <v>0</v>
      </c>
      <c r="I109" s="612"/>
      <c r="J109" s="612"/>
      <c r="K109" s="612">
        <f t="shared" si="13"/>
        <v>2030</v>
      </c>
      <c r="L109" s="612"/>
    </row>
    <row r="110" spans="1:12" ht="15.75" thickBot="1" x14ac:dyDescent="0.3">
      <c r="A110" s="483">
        <v>44459</v>
      </c>
      <c r="B110" s="504">
        <v>47593</v>
      </c>
      <c r="C110" s="618">
        <f t="shared" si="9"/>
        <v>31</v>
      </c>
      <c r="D110" s="619">
        <f t="shared" si="6"/>
        <v>0</v>
      </c>
      <c r="E110" s="619">
        <f t="shared" si="7"/>
        <v>0</v>
      </c>
      <c r="F110" s="620">
        <f t="shared" si="15"/>
        <v>0</v>
      </c>
      <c r="G110" s="619">
        <f t="shared" si="11"/>
        <v>0</v>
      </c>
      <c r="H110" s="622">
        <f t="shared" si="14"/>
        <v>0</v>
      </c>
      <c r="I110" s="612"/>
      <c r="J110" s="612"/>
      <c r="K110" s="612">
        <f t="shared" si="13"/>
        <v>2030</v>
      </c>
      <c r="L110" s="612"/>
    </row>
    <row r="111" spans="1:12" x14ac:dyDescent="0.25">
      <c r="A111" s="482">
        <v>44489</v>
      </c>
      <c r="B111" s="505">
        <v>47623</v>
      </c>
      <c r="C111" s="618">
        <f t="shared" si="9"/>
        <v>30</v>
      </c>
      <c r="D111" s="619">
        <f t="shared" si="6"/>
        <v>0</v>
      </c>
      <c r="E111" s="619">
        <f t="shared" si="7"/>
        <v>0</v>
      </c>
      <c r="F111" s="620">
        <f t="shared" si="15"/>
        <v>0</v>
      </c>
      <c r="G111" s="619">
        <f t="shared" si="11"/>
        <v>0</v>
      </c>
      <c r="H111" s="622">
        <f t="shared" si="14"/>
        <v>0</v>
      </c>
      <c r="I111" s="612"/>
      <c r="J111" s="612"/>
      <c r="K111" s="612">
        <f t="shared" si="13"/>
        <v>2030</v>
      </c>
      <c r="L111" s="612"/>
    </row>
    <row r="112" spans="1:12" ht="15.75" thickBot="1" x14ac:dyDescent="0.3">
      <c r="A112" s="483">
        <v>44520</v>
      </c>
      <c r="B112" s="504">
        <v>47654</v>
      </c>
      <c r="C112" s="618">
        <f t="shared" si="9"/>
        <v>31</v>
      </c>
      <c r="D112" s="619">
        <f t="shared" si="6"/>
        <v>0</v>
      </c>
      <c r="E112" s="619">
        <f t="shared" si="7"/>
        <v>0</v>
      </c>
      <c r="F112" s="620">
        <f t="shared" si="15"/>
        <v>0</v>
      </c>
      <c r="G112" s="619">
        <f t="shared" si="11"/>
        <v>0</v>
      </c>
      <c r="H112" s="622">
        <f t="shared" si="14"/>
        <v>0</v>
      </c>
      <c r="I112" s="612"/>
      <c r="J112" s="612"/>
      <c r="K112" s="612">
        <f t="shared" si="13"/>
        <v>2030</v>
      </c>
      <c r="L112" s="612"/>
    </row>
    <row r="113" spans="1:12" x14ac:dyDescent="0.25">
      <c r="A113" s="482">
        <v>44550</v>
      </c>
      <c r="B113" s="505">
        <v>47684</v>
      </c>
      <c r="C113" s="618">
        <f t="shared" si="9"/>
        <v>30</v>
      </c>
      <c r="D113" s="619">
        <f t="shared" ref="D113:D176" si="16">IF(F112&lt;=0.1,0,$F$42/$G$39)</f>
        <v>0</v>
      </c>
      <c r="E113" s="619">
        <f t="shared" si="7"/>
        <v>0</v>
      </c>
      <c r="F113" s="620">
        <f t="shared" si="15"/>
        <v>0</v>
      </c>
      <c r="G113" s="619">
        <f t="shared" si="11"/>
        <v>0</v>
      </c>
      <c r="H113" s="622">
        <f t="shared" si="14"/>
        <v>0</v>
      </c>
      <c r="I113" s="612"/>
      <c r="J113" s="612"/>
      <c r="K113" s="612">
        <f t="shared" si="13"/>
        <v>2030</v>
      </c>
      <c r="L113" s="612"/>
    </row>
    <row r="114" spans="1:12" ht="15.75" thickBot="1" x14ac:dyDescent="0.3">
      <c r="A114" s="483">
        <v>44581</v>
      </c>
      <c r="B114" s="504">
        <v>47715</v>
      </c>
      <c r="C114" s="618">
        <f t="shared" si="9"/>
        <v>31</v>
      </c>
      <c r="D114" s="619">
        <f t="shared" si="16"/>
        <v>0</v>
      </c>
      <c r="E114" s="619">
        <f t="shared" si="7"/>
        <v>0</v>
      </c>
      <c r="F114" s="620">
        <f>F113-D114</f>
        <v>0</v>
      </c>
      <c r="G114" s="619">
        <f t="shared" si="11"/>
        <v>0</v>
      </c>
      <c r="H114" s="622">
        <f t="shared" si="14"/>
        <v>0</v>
      </c>
      <c r="I114" s="617">
        <f>I102+I103</f>
        <v>0</v>
      </c>
      <c r="J114" s="617">
        <f>J102+J103</f>
        <v>0</v>
      </c>
      <c r="K114" s="612">
        <f t="shared" si="13"/>
        <v>2030</v>
      </c>
      <c r="L114" s="612"/>
    </row>
    <row r="115" spans="1:12" x14ac:dyDescent="0.25">
      <c r="A115" s="482">
        <v>44612</v>
      </c>
      <c r="B115" s="505">
        <v>47746</v>
      </c>
      <c r="C115" s="618">
        <f t="shared" si="9"/>
        <v>31</v>
      </c>
      <c r="D115" s="619">
        <f t="shared" si="16"/>
        <v>0</v>
      </c>
      <c r="E115" s="619">
        <f t="shared" si="7"/>
        <v>0</v>
      </c>
      <c r="F115" s="620">
        <f t="shared" ref="F115:F118" si="17">F114-D115</f>
        <v>0</v>
      </c>
      <c r="G115" s="619">
        <f t="shared" si="11"/>
        <v>0</v>
      </c>
      <c r="H115" s="622">
        <f t="shared" si="14"/>
        <v>0</v>
      </c>
      <c r="I115" s="617">
        <f>SUMIF(K$42:K$162,L115,D$42:D$162)</f>
        <v>0</v>
      </c>
      <c r="J115" s="617">
        <f>SUMIF(K$42:K$162,L115,E$42:E$162)</f>
        <v>0</v>
      </c>
      <c r="K115" s="612">
        <f t="shared" si="13"/>
        <v>2030</v>
      </c>
      <c r="L115" s="612">
        <f>L103+1</f>
        <v>2030</v>
      </c>
    </row>
    <row r="116" spans="1:12" ht="15.75" thickBot="1" x14ac:dyDescent="0.3">
      <c r="A116" s="483">
        <v>44640</v>
      </c>
      <c r="B116" s="504">
        <v>47776</v>
      </c>
      <c r="C116" s="618">
        <f t="shared" si="9"/>
        <v>30</v>
      </c>
      <c r="D116" s="619">
        <f t="shared" si="16"/>
        <v>0</v>
      </c>
      <c r="E116" s="619">
        <f t="shared" si="7"/>
        <v>0</v>
      </c>
      <c r="F116" s="620">
        <f t="shared" si="17"/>
        <v>0</v>
      </c>
      <c r="G116" s="619">
        <f t="shared" si="11"/>
        <v>0</v>
      </c>
      <c r="H116" s="622">
        <f t="shared" si="14"/>
        <v>0</v>
      </c>
      <c r="I116" s="617"/>
      <c r="J116" s="617"/>
      <c r="K116" s="612">
        <f t="shared" si="13"/>
        <v>2030</v>
      </c>
      <c r="L116" s="612"/>
    </row>
    <row r="117" spans="1:12" x14ac:dyDescent="0.25">
      <c r="A117" s="482">
        <v>44671</v>
      </c>
      <c r="B117" s="505">
        <v>47807</v>
      </c>
      <c r="C117" s="618">
        <f t="shared" si="9"/>
        <v>31</v>
      </c>
      <c r="D117" s="619">
        <f t="shared" si="16"/>
        <v>0</v>
      </c>
      <c r="E117" s="619">
        <f t="shared" si="7"/>
        <v>0</v>
      </c>
      <c r="F117" s="620">
        <f t="shared" si="17"/>
        <v>0</v>
      </c>
      <c r="G117" s="619">
        <f t="shared" si="11"/>
        <v>0</v>
      </c>
      <c r="H117" s="622">
        <f t="shared" si="14"/>
        <v>0</v>
      </c>
      <c r="I117" s="612"/>
      <c r="J117" s="612"/>
      <c r="K117" s="612">
        <f t="shared" si="13"/>
        <v>2030</v>
      </c>
      <c r="L117" s="612"/>
    </row>
    <row r="118" spans="1:12" ht="15.75" thickBot="1" x14ac:dyDescent="0.3">
      <c r="A118" s="483">
        <v>44701</v>
      </c>
      <c r="B118" s="504">
        <v>47837</v>
      </c>
      <c r="C118" s="618">
        <f t="shared" si="9"/>
        <v>30</v>
      </c>
      <c r="D118" s="619">
        <f t="shared" si="16"/>
        <v>0</v>
      </c>
      <c r="E118" s="619">
        <f t="shared" si="7"/>
        <v>0</v>
      </c>
      <c r="F118" s="620">
        <f t="shared" si="17"/>
        <v>0</v>
      </c>
      <c r="G118" s="619">
        <f t="shared" si="11"/>
        <v>0</v>
      </c>
      <c r="H118" s="622">
        <f t="shared" si="14"/>
        <v>0</v>
      </c>
      <c r="I118" s="612"/>
      <c r="J118" s="612"/>
      <c r="K118" s="612">
        <f t="shared" si="13"/>
        <v>2030</v>
      </c>
      <c r="L118" s="612"/>
    </row>
    <row r="119" spans="1:12" x14ac:dyDescent="0.25">
      <c r="A119" s="482">
        <v>44732</v>
      </c>
      <c r="B119" s="505">
        <v>47868</v>
      </c>
      <c r="C119" s="618">
        <f>B119-B118</f>
        <v>31</v>
      </c>
      <c r="D119" s="619">
        <f t="shared" si="16"/>
        <v>0</v>
      </c>
      <c r="E119" s="619">
        <f t="shared" ref="E119:E182" si="18">IF(D119&lt;0.1,0,(F118*C119*H119/36500))</f>
        <v>0</v>
      </c>
      <c r="F119" s="620">
        <f>F118-D119</f>
        <v>0</v>
      </c>
      <c r="G119" s="619">
        <f t="shared" si="11"/>
        <v>0</v>
      </c>
      <c r="H119" s="622">
        <f t="shared" si="14"/>
        <v>0</v>
      </c>
      <c r="I119" s="612"/>
      <c r="J119" s="612"/>
      <c r="K119" s="612">
        <f t="shared" si="13"/>
        <v>2031</v>
      </c>
      <c r="L119" s="612"/>
    </row>
    <row r="120" spans="1:12" ht="15.75" thickBot="1" x14ac:dyDescent="0.3">
      <c r="A120" s="483">
        <v>44762</v>
      </c>
      <c r="B120" s="504">
        <v>47899</v>
      </c>
      <c r="C120" s="618">
        <f>B120-B119</f>
        <v>31</v>
      </c>
      <c r="D120" s="619">
        <f t="shared" si="16"/>
        <v>0</v>
      </c>
      <c r="E120" s="619">
        <f t="shared" si="18"/>
        <v>0</v>
      </c>
      <c r="F120" s="620">
        <f>F119-D120</f>
        <v>0</v>
      </c>
      <c r="G120" s="619">
        <f>D120+E120</f>
        <v>0</v>
      </c>
      <c r="H120" s="622">
        <f t="shared" si="14"/>
        <v>0</v>
      </c>
      <c r="I120" s="612"/>
      <c r="J120" s="612"/>
      <c r="K120" s="612">
        <f t="shared" si="13"/>
        <v>2031</v>
      </c>
      <c r="L120" s="612"/>
    </row>
    <row r="121" spans="1:12" x14ac:dyDescent="0.25">
      <c r="A121" s="482">
        <v>44793</v>
      </c>
      <c r="B121" s="505">
        <v>47927</v>
      </c>
      <c r="C121" s="618">
        <f>B121-B120</f>
        <v>28</v>
      </c>
      <c r="D121" s="619">
        <f t="shared" si="16"/>
        <v>0</v>
      </c>
      <c r="E121" s="619">
        <f t="shared" si="18"/>
        <v>0</v>
      </c>
      <c r="F121" s="620">
        <f>F120-D121</f>
        <v>0</v>
      </c>
      <c r="G121" s="619">
        <f t="shared" ref="G121:G184" si="19">D121+E121</f>
        <v>0</v>
      </c>
      <c r="H121" s="622">
        <f t="shared" si="14"/>
        <v>0</v>
      </c>
      <c r="I121" s="612"/>
      <c r="J121" s="612"/>
      <c r="K121" s="612">
        <f t="shared" si="13"/>
        <v>2031</v>
      </c>
      <c r="L121" s="612"/>
    </row>
    <row r="122" spans="1:12" ht="15.75" thickBot="1" x14ac:dyDescent="0.3">
      <c r="A122" s="483">
        <v>44824</v>
      </c>
      <c r="B122" s="504">
        <v>47958</v>
      </c>
      <c r="C122" s="618">
        <f t="shared" ref="C122:C185" si="20">B122-B121</f>
        <v>31</v>
      </c>
      <c r="D122" s="619">
        <f t="shared" si="16"/>
        <v>0</v>
      </c>
      <c r="E122" s="619">
        <f t="shared" si="18"/>
        <v>0</v>
      </c>
      <c r="F122" s="620">
        <f t="shared" ref="F122:F125" si="21">F121-D122</f>
        <v>0</v>
      </c>
      <c r="G122" s="619">
        <f t="shared" si="19"/>
        <v>0</v>
      </c>
      <c r="H122" s="622">
        <f t="shared" si="14"/>
        <v>0</v>
      </c>
      <c r="I122" s="612"/>
      <c r="J122" s="612"/>
      <c r="K122" s="612">
        <f t="shared" si="13"/>
        <v>2031</v>
      </c>
      <c r="L122" s="612"/>
    </row>
    <row r="123" spans="1:12" x14ac:dyDescent="0.25">
      <c r="A123" s="482">
        <v>44854</v>
      </c>
      <c r="B123" s="505">
        <v>47988</v>
      </c>
      <c r="C123" s="618">
        <f t="shared" si="20"/>
        <v>30</v>
      </c>
      <c r="D123" s="619">
        <f t="shared" si="16"/>
        <v>0</v>
      </c>
      <c r="E123" s="619">
        <f t="shared" si="18"/>
        <v>0</v>
      </c>
      <c r="F123" s="620">
        <f t="shared" si="21"/>
        <v>0</v>
      </c>
      <c r="G123" s="619">
        <f t="shared" si="19"/>
        <v>0</v>
      </c>
      <c r="H123" s="622">
        <f t="shared" si="14"/>
        <v>0</v>
      </c>
      <c r="I123" s="612"/>
      <c r="J123" s="612"/>
      <c r="K123" s="612">
        <f t="shared" si="13"/>
        <v>2031</v>
      </c>
      <c r="L123" s="612"/>
    </row>
    <row r="124" spans="1:12" ht="15.75" thickBot="1" x14ac:dyDescent="0.3">
      <c r="A124" s="483">
        <v>44885</v>
      </c>
      <c r="B124" s="504">
        <v>48019</v>
      </c>
      <c r="C124" s="618">
        <f t="shared" si="20"/>
        <v>31</v>
      </c>
      <c r="D124" s="619">
        <f t="shared" si="16"/>
        <v>0</v>
      </c>
      <c r="E124" s="619">
        <f t="shared" si="18"/>
        <v>0</v>
      </c>
      <c r="F124" s="620">
        <f t="shared" si="21"/>
        <v>0</v>
      </c>
      <c r="G124" s="619">
        <f t="shared" si="19"/>
        <v>0</v>
      </c>
      <c r="H124" s="622">
        <f t="shared" si="14"/>
        <v>0</v>
      </c>
      <c r="I124" s="612"/>
      <c r="J124" s="612"/>
      <c r="K124" s="612">
        <f t="shared" si="13"/>
        <v>2031</v>
      </c>
      <c r="L124" s="612"/>
    </row>
    <row r="125" spans="1:12" x14ac:dyDescent="0.25">
      <c r="A125" s="482">
        <v>44915</v>
      </c>
      <c r="B125" s="505">
        <v>48049</v>
      </c>
      <c r="C125" s="618">
        <f t="shared" si="20"/>
        <v>30</v>
      </c>
      <c r="D125" s="619">
        <f t="shared" si="16"/>
        <v>0</v>
      </c>
      <c r="E125" s="619">
        <f t="shared" si="18"/>
        <v>0</v>
      </c>
      <c r="F125" s="620">
        <f t="shared" si="21"/>
        <v>0</v>
      </c>
      <c r="G125" s="619">
        <f t="shared" si="19"/>
        <v>0</v>
      </c>
      <c r="H125" s="622">
        <f t="shared" si="14"/>
        <v>0</v>
      </c>
      <c r="I125" s="612"/>
      <c r="J125" s="612"/>
      <c r="K125" s="612">
        <f t="shared" si="13"/>
        <v>2031</v>
      </c>
      <c r="L125" s="612"/>
    </row>
    <row r="126" spans="1:12" ht="15.75" thickBot="1" x14ac:dyDescent="0.3">
      <c r="A126" s="483">
        <v>44946</v>
      </c>
      <c r="B126" s="504">
        <v>48080</v>
      </c>
      <c r="C126" s="618">
        <f t="shared" si="20"/>
        <v>31</v>
      </c>
      <c r="D126" s="619">
        <f t="shared" si="16"/>
        <v>0</v>
      </c>
      <c r="E126" s="619">
        <f t="shared" si="18"/>
        <v>0</v>
      </c>
      <c r="F126" s="620">
        <f>F125-D126</f>
        <v>0</v>
      </c>
      <c r="G126" s="619">
        <f t="shared" si="19"/>
        <v>0</v>
      </c>
      <c r="H126" s="622">
        <f t="shared" si="14"/>
        <v>0</v>
      </c>
      <c r="I126" s="617">
        <f>I114+I115</f>
        <v>0</v>
      </c>
      <c r="J126" s="617">
        <f>J114+J115</f>
        <v>0</v>
      </c>
      <c r="K126" s="612">
        <f t="shared" si="13"/>
        <v>2031</v>
      </c>
      <c r="L126" s="612"/>
    </row>
    <row r="127" spans="1:12" x14ac:dyDescent="0.25">
      <c r="A127" s="482">
        <v>44977</v>
      </c>
      <c r="B127" s="505">
        <v>48111</v>
      </c>
      <c r="C127" s="618">
        <f t="shared" si="20"/>
        <v>31</v>
      </c>
      <c r="D127" s="619">
        <f t="shared" si="16"/>
        <v>0</v>
      </c>
      <c r="E127" s="619">
        <f t="shared" si="18"/>
        <v>0</v>
      </c>
      <c r="F127" s="620">
        <f t="shared" ref="F127:F137" si="22">F126-D127</f>
        <v>0</v>
      </c>
      <c r="G127" s="619">
        <f t="shared" si="19"/>
        <v>0</v>
      </c>
      <c r="H127" s="622">
        <f t="shared" si="14"/>
        <v>0</v>
      </c>
      <c r="I127" s="617">
        <f>SUMIF(K$42:K$162,L127,D$42:D$162)</f>
        <v>0</v>
      </c>
      <c r="J127" s="617">
        <f>SUMIF(K$42:K$162,L127,E$42:E$162)</f>
        <v>0</v>
      </c>
      <c r="K127" s="612">
        <f t="shared" si="13"/>
        <v>2031</v>
      </c>
      <c r="L127" s="612">
        <f>L115+1</f>
        <v>2031</v>
      </c>
    </row>
    <row r="128" spans="1:12" ht="15.75" thickBot="1" x14ac:dyDescent="0.3">
      <c r="A128" s="483">
        <v>45005</v>
      </c>
      <c r="B128" s="504">
        <v>48141</v>
      </c>
      <c r="C128" s="618">
        <f t="shared" si="20"/>
        <v>30</v>
      </c>
      <c r="D128" s="619">
        <f t="shared" si="16"/>
        <v>0</v>
      </c>
      <c r="E128" s="619">
        <f t="shared" si="18"/>
        <v>0</v>
      </c>
      <c r="F128" s="620">
        <f t="shared" si="22"/>
        <v>0</v>
      </c>
      <c r="G128" s="619">
        <f t="shared" si="19"/>
        <v>0</v>
      </c>
      <c r="H128" s="622">
        <f t="shared" si="14"/>
        <v>0</v>
      </c>
      <c r="I128" s="617"/>
      <c r="J128" s="617"/>
      <c r="K128" s="612">
        <f t="shared" si="13"/>
        <v>2031</v>
      </c>
      <c r="L128" s="612"/>
    </row>
    <row r="129" spans="1:12" x14ac:dyDescent="0.25">
      <c r="A129" s="482">
        <v>45036</v>
      </c>
      <c r="B129" s="505">
        <v>48172</v>
      </c>
      <c r="C129" s="618">
        <f t="shared" si="20"/>
        <v>31</v>
      </c>
      <c r="D129" s="619">
        <f t="shared" si="16"/>
        <v>0</v>
      </c>
      <c r="E129" s="619">
        <f t="shared" si="18"/>
        <v>0</v>
      </c>
      <c r="F129" s="620">
        <f t="shared" si="22"/>
        <v>0</v>
      </c>
      <c r="G129" s="619">
        <f t="shared" si="19"/>
        <v>0</v>
      </c>
      <c r="H129" s="622">
        <f t="shared" si="14"/>
        <v>0</v>
      </c>
      <c r="I129" s="612"/>
      <c r="J129" s="612"/>
      <c r="K129" s="612">
        <f t="shared" si="13"/>
        <v>2031</v>
      </c>
      <c r="L129" s="612"/>
    </row>
    <row r="130" spans="1:12" ht="15.75" thickBot="1" x14ac:dyDescent="0.3">
      <c r="A130" s="483">
        <v>45066</v>
      </c>
      <c r="B130" s="504">
        <v>48202</v>
      </c>
      <c r="C130" s="618">
        <f t="shared" si="20"/>
        <v>30</v>
      </c>
      <c r="D130" s="619">
        <f t="shared" si="16"/>
        <v>0</v>
      </c>
      <c r="E130" s="619">
        <f t="shared" si="18"/>
        <v>0</v>
      </c>
      <c r="F130" s="620">
        <f t="shared" si="22"/>
        <v>0</v>
      </c>
      <c r="G130" s="619">
        <f t="shared" si="19"/>
        <v>0</v>
      </c>
      <c r="H130" s="622">
        <f t="shared" si="14"/>
        <v>0</v>
      </c>
      <c r="I130" s="612"/>
      <c r="J130" s="612"/>
      <c r="K130" s="612">
        <f t="shared" si="13"/>
        <v>2031</v>
      </c>
      <c r="L130" s="612"/>
    </row>
    <row r="131" spans="1:12" x14ac:dyDescent="0.25">
      <c r="A131" s="482">
        <v>45097</v>
      </c>
      <c r="B131" s="505">
        <v>48233</v>
      </c>
      <c r="C131" s="618">
        <f t="shared" si="20"/>
        <v>31</v>
      </c>
      <c r="D131" s="619">
        <f t="shared" si="16"/>
        <v>0</v>
      </c>
      <c r="E131" s="619">
        <f t="shared" si="18"/>
        <v>0</v>
      </c>
      <c r="F131" s="620">
        <f t="shared" si="22"/>
        <v>0</v>
      </c>
      <c r="G131" s="619">
        <f t="shared" si="19"/>
        <v>0</v>
      </c>
      <c r="H131" s="622">
        <f t="shared" si="14"/>
        <v>0</v>
      </c>
      <c r="I131" s="612"/>
      <c r="J131" s="612"/>
      <c r="K131" s="612">
        <f t="shared" si="13"/>
        <v>2032</v>
      </c>
      <c r="L131" s="612"/>
    </row>
    <row r="132" spans="1:12" ht="15.75" thickBot="1" x14ac:dyDescent="0.3">
      <c r="A132" s="483">
        <v>45127</v>
      </c>
      <c r="B132" s="504">
        <v>48264</v>
      </c>
      <c r="C132" s="618">
        <f t="shared" si="20"/>
        <v>31</v>
      </c>
      <c r="D132" s="619">
        <f t="shared" si="16"/>
        <v>0</v>
      </c>
      <c r="E132" s="619">
        <f t="shared" si="18"/>
        <v>0</v>
      </c>
      <c r="F132" s="620">
        <f t="shared" si="22"/>
        <v>0</v>
      </c>
      <c r="G132" s="619">
        <f t="shared" si="19"/>
        <v>0</v>
      </c>
      <c r="H132" s="622">
        <f t="shared" si="14"/>
        <v>0</v>
      </c>
      <c r="I132" s="612"/>
      <c r="J132" s="612"/>
      <c r="K132" s="612">
        <f t="shared" si="13"/>
        <v>2032</v>
      </c>
      <c r="L132" s="612"/>
    </row>
    <row r="133" spans="1:12" x14ac:dyDescent="0.25">
      <c r="A133" s="482">
        <v>45158</v>
      </c>
      <c r="B133" s="505">
        <v>48293</v>
      </c>
      <c r="C133" s="618">
        <f t="shared" si="20"/>
        <v>29</v>
      </c>
      <c r="D133" s="619">
        <f t="shared" si="16"/>
        <v>0</v>
      </c>
      <c r="E133" s="619">
        <f t="shared" si="18"/>
        <v>0</v>
      </c>
      <c r="F133" s="620">
        <f t="shared" si="22"/>
        <v>0</v>
      </c>
      <c r="G133" s="619">
        <f t="shared" si="19"/>
        <v>0</v>
      </c>
      <c r="H133" s="622">
        <f t="shared" si="14"/>
        <v>0</v>
      </c>
      <c r="I133" s="612"/>
      <c r="J133" s="612"/>
      <c r="K133" s="612">
        <f t="shared" si="13"/>
        <v>2032</v>
      </c>
      <c r="L133" s="612"/>
    </row>
    <row r="134" spans="1:12" ht="15.75" thickBot="1" x14ac:dyDescent="0.3">
      <c r="A134" s="483">
        <v>45189</v>
      </c>
      <c r="B134" s="504">
        <v>48324</v>
      </c>
      <c r="C134" s="618">
        <f t="shared" si="20"/>
        <v>31</v>
      </c>
      <c r="D134" s="619">
        <f t="shared" si="16"/>
        <v>0</v>
      </c>
      <c r="E134" s="619">
        <f t="shared" si="18"/>
        <v>0</v>
      </c>
      <c r="F134" s="620">
        <f t="shared" si="22"/>
        <v>0</v>
      </c>
      <c r="G134" s="619">
        <f t="shared" si="19"/>
        <v>0</v>
      </c>
      <c r="H134" s="622">
        <f t="shared" si="14"/>
        <v>0</v>
      </c>
      <c r="I134" s="612"/>
      <c r="J134" s="612"/>
      <c r="K134" s="612">
        <f t="shared" si="13"/>
        <v>2032</v>
      </c>
      <c r="L134" s="612"/>
    </row>
    <row r="135" spans="1:12" x14ac:dyDescent="0.25">
      <c r="A135" s="482">
        <v>45219</v>
      </c>
      <c r="B135" s="505">
        <v>48354</v>
      </c>
      <c r="C135" s="618">
        <f t="shared" si="20"/>
        <v>30</v>
      </c>
      <c r="D135" s="619">
        <f t="shared" si="16"/>
        <v>0</v>
      </c>
      <c r="E135" s="619">
        <f t="shared" si="18"/>
        <v>0</v>
      </c>
      <c r="F135" s="620">
        <f t="shared" si="22"/>
        <v>0</v>
      </c>
      <c r="G135" s="619">
        <f t="shared" si="19"/>
        <v>0</v>
      </c>
      <c r="H135" s="622">
        <f t="shared" si="14"/>
        <v>0</v>
      </c>
      <c r="I135" s="612"/>
      <c r="J135" s="612"/>
      <c r="K135" s="612">
        <f t="shared" si="13"/>
        <v>2032</v>
      </c>
      <c r="L135" s="612"/>
    </row>
    <row r="136" spans="1:12" ht="15.75" thickBot="1" x14ac:dyDescent="0.3">
      <c r="A136" s="483">
        <v>45250</v>
      </c>
      <c r="B136" s="504">
        <v>48385</v>
      </c>
      <c r="C136" s="618">
        <f t="shared" si="20"/>
        <v>31</v>
      </c>
      <c r="D136" s="619">
        <f t="shared" si="16"/>
        <v>0</v>
      </c>
      <c r="E136" s="619">
        <f t="shared" si="18"/>
        <v>0</v>
      </c>
      <c r="F136" s="620">
        <f t="shared" si="22"/>
        <v>0</v>
      </c>
      <c r="G136" s="619">
        <f t="shared" si="19"/>
        <v>0</v>
      </c>
      <c r="H136" s="622">
        <f t="shared" si="14"/>
        <v>0</v>
      </c>
      <c r="I136" s="612"/>
      <c r="J136" s="612"/>
      <c r="K136" s="612">
        <f t="shared" si="13"/>
        <v>2032</v>
      </c>
      <c r="L136" s="612"/>
    </row>
    <row r="137" spans="1:12" x14ac:dyDescent="0.25">
      <c r="A137" s="482">
        <v>45280</v>
      </c>
      <c r="B137" s="505">
        <v>48415</v>
      </c>
      <c r="C137" s="618">
        <f t="shared" si="20"/>
        <v>30</v>
      </c>
      <c r="D137" s="619">
        <f t="shared" si="16"/>
        <v>0</v>
      </c>
      <c r="E137" s="619">
        <f t="shared" si="18"/>
        <v>0</v>
      </c>
      <c r="F137" s="620">
        <f t="shared" si="22"/>
        <v>0</v>
      </c>
      <c r="G137" s="619">
        <f t="shared" si="19"/>
        <v>0</v>
      </c>
      <c r="H137" s="622">
        <f t="shared" si="14"/>
        <v>0</v>
      </c>
      <c r="I137" s="612"/>
      <c r="J137" s="612"/>
      <c r="K137" s="612">
        <f t="shared" si="13"/>
        <v>2032</v>
      </c>
      <c r="L137" s="612"/>
    </row>
    <row r="138" spans="1:12" ht="15.75" thickBot="1" x14ac:dyDescent="0.3">
      <c r="A138" s="483">
        <v>45311</v>
      </c>
      <c r="B138" s="504">
        <v>48446</v>
      </c>
      <c r="C138" s="618">
        <f t="shared" si="20"/>
        <v>31</v>
      </c>
      <c r="D138" s="619">
        <f t="shared" si="16"/>
        <v>0</v>
      </c>
      <c r="E138" s="619">
        <f t="shared" si="18"/>
        <v>0</v>
      </c>
      <c r="F138" s="620">
        <f>F137-D138</f>
        <v>0</v>
      </c>
      <c r="G138" s="619">
        <f t="shared" si="19"/>
        <v>0</v>
      </c>
      <c r="H138" s="622">
        <f t="shared" si="14"/>
        <v>0</v>
      </c>
      <c r="I138" s="617">
        <f>I126+I127</f>
        <v>0</v>
      </c>
      <c r="J138" s="617">
        <f>J126+J127</f>
        <v>0</v>
      </c>
      <c r="K138" s="612">
        <f t="shared" si="13"/>
        <v>2032</v>
      </c>
      <c r="L138" s="612"/>
    </row>
    <row r="139" spans="1:12" x14ac:dyDescent="0.25">
      <c r="A139" s="482">
        <v>45342</v>
      </c>
      <c r="B139" s="505">
        <v>48477</v>
      </c>
      <c r="C139" s="618">
        <f t="shared" si="20"/>
        <v>31</v>
      </c>
      <c r="D139" s="619">
        <f t="shared" si="16"/>
        <v>0</v>
      </c>
      <c r="E139" s="619">
        <f t="shared" si="18"/>
        <v>0</v>
      </c>
      <c r="F139" s="620">
        <f t="shared" ref="F139:F202" si="23">F138-D139</f>
        <v>0</v>
      </c>
      <c r="G139" s="619">
        <f t="shared" si="19"/>
        <v>0</v>
      </c>
      <c r="H139" s="622">
        <f t="shared" si="14"/>
        <v>0</v>
      </c>
      <c r="I139" s="617">
        <f>SUMIF(K$42:K$162,L139,D$42:D$162)</f>
        <v>0</v>
      </c>
      <c r="J139" s="617">
        <f>SUMIF(K$42:K$162,L139,E$42:E$162)</f>
        <v>0</v>
      </c>
      <c r="K139" s="612">
        <f t="shared" si="13"/>
        <v>2032</v>
      </c>
      <c r="L139" s="612">
        <f>L127+1</f>
        <v>2032</v>
      </c>
    </row>
    <row r="140" spans="1:12" ht="15.75" thickBot="1" x14ac:dyDescent="0.3">
      <c r="A140" s="483">
        <v>45371</v>
      </c>
      <c r="B140" s="504">
        <v>48507</v>
      </c>
      <c r="C140" s="618">
        <f t="shared" si="20"/>
        <v>30</v>
      </c>
      <c r="D140" s="619">
        <f t="shared" si="16"/>
        <v>0</v>
      </c>
      <c r="E140" s="619">
        <f t="shared" si="18"/>
        <v>0</v>
      </c>
      <c r="F140" s="620">
        <f t="shared" si="23"/>
        <v>0</v>
      </c>
      <c r="G140" s="619">
        <f t="shared" si="19"/>
        <v>0</v>
      </c>
      <c r="H140" s="622">
        <f t="shared" si="14"/>
        <v>0</v>
      </c>
      <c r="I140" s="617"/>
      <c r="J140" s="617"/>
      <c r="K140" s="612">
        <f t="shared" si="13"/>
        <v>2032</v>
      </c>
      <c r="L140" s="612"/>
    </row>
    <row r="141" spans="1:12" x14ac:dyDescent="0.25">
      <c r="A141" s="482">
        <v>45402</v>
      </c>
      <c r="B141" s="505">
        <v>48538</v>
      </c>
      <c r="C141" s="618">
        <f t="shared" si="20"/>
        <v>31</v>
      </c>
      <c r="D141" s="619">
        <f t="shared" si="16"/>
        <v>0</v>
      </c>
      <c r="E141" s="619">
        <f t="shared" si="18"/>
        <v>0</v>
      </c>
      <c r="F141" s="620">
        <f t="shared" si="23"/>
        <v>0</v>
      </c>
      <c r="G141" s="619">
        <f t="shared" si="19"/>
        <v>0</v>
      </c>
      <c r="H141" s="622">
        <f t="shared" si="14"/>
        <v>0</v>
      </c>
      <c r="I141" s="612"/>
      <c r="J141" s="612"/>
      <c r="K141" s="612">
        <f t="shared" si="13"/>
        <v>2032</v>
      </c>
      <c r="L141" s="612"/>
    </row>
    <row r="142" spans="1:12" ht="15.75" thickBot="1" x14ac:dyDescent="0.3">
      <c r="A142" s="483">
        <v>45432</v>
      </c>
      <c r="B142" s="504">
        <v>48568</v>
      </c>
      <c r="C142" s="618">
        <f t="shared" si="20"/>
        <v>30</v>
      </c>
      <c r="D142" s="619">
        <f t="shared" si="16"/>
        <v>0</v>
      </c>
      <c r="E142" s="619">
        <f t="shared" si="18"/>
        <v>0</v>
      </c>
      <c r="F142" s="620">
        <f t="shared" si="23"/>
        <v>0</v>
      </c>
      <c r="G142" s="619">
        <f t="shared" si="19"/>
        <v>0</v>
      </c>
      <c r="H142" s="622">
        <f t="shared" si="14"/>
        <v>0</v>
      </c>
      <c r="I142" s="612"/>
      <c r="J142" s="612"/>
      <c r="K142" s="612">
        <f t="shared" si="13"/>
        <v>2032</v>
      </c>
      <c r="L142" s="612"/>
    </row>
    <row r="143" spans="1:12" x14ac:dyDescent="0.25">
      <c r="A143" s="482">
        <v>45463</v>
      </c>
      <c r="B143" s="505">
        <v>48599</v>
      </c>
      <c r="C143" s="618">
        <f t="shared" si="20"/>
        <v>31</v>
      </c>
      <c r="D143" s="619">
        <f t="shared" si="16"/>
        <v>0</v>
      </c>
      <c r="E143" s="619">
        <f t="shared" si="18"/>
        <v>0</v>
      </c>
      <c r="F143" s="620">
        <f t="shared" si="23"/>
        <v>0</v>
      </c>
      <c r="G143" s="619">
        <f t="shared" si="19"/>
        <v>0</v>
      </c>
      <c r="H143" s="622">
        <f t="shared" si="14"/>
        <v>0</v>
      </c>
      <c r="I143" s="612"/>
      <c r="J143" s="612"/>
      <c r="K143" s="612">
        <f t="shared" si="13"/>
        <v>2033</v>
      </c>
      <c r="L143" s="612"/>
    </row>
    <row r="144" spans="1:12" ht="15.75" thickBot="1" x14ac:dyDescent="0.3">
      <c r="A144" s="483">
        <v>45493</v>
      </c>
      <c r="B144" s="504">
        <v>48630</v>
      </c>
      <c r="C144" s="618">
        <f t="shared" si="20"/>
        <v>31</v>
      </c>
      <c r="D144" s="619">
        <f t="shared" si="16"/>
        <v>0</v>
      </c>
      <c r="E144" s="619">
        <f t="shared" si="18"/>
        <v>0</v>
      </c>
      <c r="F144" s="620">
        <f t="shared" si="23"/>
        <v>0</v>
      </c>
      <c r="G144" s="619">
        <f t="shared" si="19"/>
        <v>0</v>
      </c>
      <c r="H144" s="622">
        <f t="shared" si="14"/>
        <v>0</v>
      </c>
      <c r="I144" s="612"/>
      <c r="J144" s="612"/>
      <c r="K144" s="612">
        <f t="shared" si="13"/>
        <v>2033</v>
      </c>
      <c r="L144" s="612"/>
    </row>
    <row r="145" spans="1:12" x14ac:dyDescent="0.25">
      <c r="A145" s="482">
        <v>45524</v>
      </c>
      <c r="B145" s="505">
        <v>48658</v>
      </c>
      <c r="C145" s="618">
        <f t="shared" si="20"/>
        <v>28</v>
      </c>
      <c r="D145" s="619">
        <f t="shared" si="16"/>
        <v>0</v>
      </c>
      <c r="E145" s="619">
        <f t="shared" si="18"/>
        <v>0</v>
      </c>
      <c r="F145" s="620">
        <f t="shared" si="23"/>
        <v>0</v>
      </c>
      <c r="G145" s="619">
        <f t="shared" si="19"/>
        <v>0</v>
      </c>
      <c r="H145" s="622">
        <f t="shared" si="14"/>
        <v>0</v>
      </c>
      <c r="I145" s="612"/>
      <c r="J145" s="612"/>
      <c r="K145" s="612">
        <f t="shared" si="13"/>
        <v>2033</v>
      </c>
      <c r="L145" s="612"/>
    </row>
    <row r="146" spans="1:12" ht="15.75" thickBot="1" x14ac:dyDescent="0.3">
      <c r="A146" s="483">
        <v>45555</v>
      </c>
      <c r="B146" s="504">
        <v>48689</v>
      </c>
      <c r="C146" s="618">
        <f t="shared" si="20"/>
        <v>31</v>
      </c>
      <c r="D146" s="619">
        <f t="shared" si="16"/>
        <v>0</v>
      </c>
      <c r="E146" s="619">
        <f t="shared" si="18"/>
        <v>0</v>
      </c>
      <c r="F146" s="620">
        <f t="shared" si="23"/>
        <v>0</v>
      </c>
      <c r="G146" s="619">
        <f t="shared" si="19"/>
        <v>0</v>
      </c>
      <c r="H146" s="622">
        <f t="shared" si="14"/>
        <v>0</v>
      </c>
      <c r="I146" s="612"/>
      <c r="J146" s="612"/>
      <c r="K146" s="612">
        <f t="shared" si="13"/>
        <v>2033</v>
      </c>
      <c r="L146" s="612"/>
    </row>
    <row r="147" spans="1:12" x14ac:dyDescent="0.25">
      <c r="A147" s="482">
        <v>45585</v>
      </c>
      <c r="B147" s="505">
        <v>48719</v>
      </c>
      <c r="C147" s="618">
        <f t="shared" si="20"/>
        <v>30</v>
      </c>
      <c r="D147" s="619">
        <f t="shared" si="16"/>
        <v>0</v>
      </c>
      <c r="E147" s="619">
        <f t="shared" si="18"/>
        <v>0</v>
      </c>
      <c r="F147" s="620">
        <f t="shared" si="23"/>
        <v>0</v>
      </c>
      <c r="G147" s="619">
        <f t="shared" si="19"/>
        <v>0</v>
      </c>
      <c r="H147" s="622">
        <f t="shared" si="14"/>
        <v>0</v>
      </c>
      <c r="I147" s="612"/>
      <c r="J147" s="612"/>
      <c r="K147" s="612">
        <f t="shared" si="13"/>
        <v>2033</v>
      </c>
      <c r="L147" s="612"/>
    </row>
    <row r="148" spans="1:12" ht="15.75" thickBot="1" x14ac:dyDescent="0.3">
      <c r="A148" s="483">
        <v>45616</v>
      </c>
      <c r="B148" s="504">
        <v>48750</v>
      </c>
      <c r="C148" s="618">
        <f t="shared" si="20"/>
        <v>31</v>
      </c>
      <c r="D148" s="619">
        <f t="shared" si="16"/>
        <v>0</v>
      </c>
      <c r="E148" s="619">
        <f t="shared" si="18"/>
        <v>0</v>
      </c>
      <c r="F148" s="620">
        <f t="shared" si="23"/>
        <v>0</v>
      </c>
      <c r="G148" s="619">
        <f t="shared" si="19"/>
        <v>0</v>
      </c>
      <c r="H148" s="622">
        <f t="shared" si="14"/>
        <v>0</v>
      </c>
      <c r="I148" s="612"/>
      <c r="J148" s="612"/>
      <c r="K148" s="612">
        <f t="shared" si="13"/>
        <v>2033</v>
      </c>
      <c r="L148" s="612"/>
    </row>
    <row r="149" spans="1:12" x14ac:dyDescent="0.25">
      <c r="A149" s="482">
        <v>45646</v>
      </c>
      <c r="B149" s="505">
        <v>48780</v>
      </c>
      <c r="C149" s="618">
        <f t="shared" si="20"/>
        <v>30</v>
      </c>
      <c r="D149" s="619">
        <f t="shared" si="16"/>
        <v>0</v>
      </c>
      <c r="E149" s="619">
        <f t="shared" si="18"/>
        <v>0</v>
      </c>
      <c r="F149" s="620">
        <f t="shared" si="23"/>
        <v>0</v>
      </c>
      <c r="G149" s="619">
        <f t="shared" si="19"/>
        <v>0</v>
      </c>
      <c r="H149" s="622">
        <f t="shared" si="14"/>
        <v>0</v>
      </c>
      <c r="I149" s="612"/>
      <c r="J149" s="612"/>
      <c r="K149" s="612">
        <f t="shared" si="13"/>
        <v>2033</v>
      </c>
      <c r="L149" s="612"/>
    </row>
    <row r="150" spans="1:12" ht="15.75" thickBot="1" x14ac:dyDescent="0.3">
      <c r="A150" s="483">
        <v>45677</v>
      </c>
      <c r="B150" s="504">
        <v>48811</v>
      </c>
      <c r="C150" s="618">
        <f t="shared" si="20"/>
        <v>31</v>
      </c>
      <c r="D150" s="619">
        <f t="shared" si="16"/>
        <v>0</v>
      </c>
      <c r="E150" s="619">
        <f t="shared" si="18"/>
        <v>0</v>
      </c>
      <c r="F150" s="620">
        <f t="shared" si="23"/>
        <v>0</v>
      </c>
      <c r="G150" s="619">
        <f t="shared" si="19"/>
        <v>0</v>
      </c>
      <c r="H150" s="622">
        <f t="shared" si="14"/>
        <v>0</v>
      </c>
      <c r="I150" s="617">
        <f>I138+I139</f>
        <v>0</v>
      </c>
      <c r="J150" s="617">
        <f>J138+J139</f>
        <v>0</v>
      </c>
      <c r="K150" s="612">
        <f t="shared" si="13"/>
        <v>2033</v>
      </c>
      <c r="L150" s="612"/>
    </row>
    <row r="151" spans="1:12" x14ac:dyDescent="0.25">
      <c r="A151" s="482">
        <v>45708</v>
      </c>
      <c r="B151" s="505">
        <v>48842</v>
      </c>
      <c r="C151" s="618">
        <f t="shared" si="20"/>
        <v>31</v>
      </c>
      <c r="D151" s="619">
        <f t="shared" si="16"/>
        <v>0</v>
      </c>
      <c r="E151" s="619">
        <f t="shared" si="18"/>
        <v>0</v>
      </c>
      <c r="F151" s="620">
        <f t="shared" si="23"/>
        <v>0</v>
      </c>
      <c r="G151" s="619">
        <f t="shared" si="19"/>
        <v>0</v>
      </c>
      <c r="H151" s="622">
        <f t="shared" si="14"/>
        <v>0</v>
      </c>
      <c r="I151" s="617">
        <f>SUMIF(K$42:K$162,L151,D$42:D$162)</f>
        <v>0</v>
      </c>
      <c r="J151" s="617">
        <f>SUMIF(K$42:K$162,L151,E$42:E$162)</f>
        <v>0</v>
      </c>
      <c r="K151" s="612">
        <f t="shared" si="13"/>
        <v>2033</v>
      </c>
      <c r="L151" s="612">
        <f>L139+1</f>
        <v>2033</v>
      </c>
    </row>
    <row r="152" spans="1:12" ht="15.75" thickBot="1" x14ac:dyDescent="0.3">
      <c r="A152" s="483">
        <v>45736</v>
      </c>
      <c r="B152" s="504">
        <v>48872</v>
      </c>
      <c r="C152" s="618">
        <f t="shared" si="20"/>
        <v>30</v>
      </c>
      <c r="D152" s="619">
        <f t="shared" si="16"/>
        <v>0</v>
      </c>
      <c r="E152" s="619">
        <f t="shared" si="18"/>
        <v>0</v>
      </c>
      <c r="F152" s="620">
        <f t="shared" si="23"/>
        <v>0</v>
      </c>
      <c r="G152" s="619">
        <f t="shared" si="19"/>
        <v>0</v>
      </c>
      <c r="H152" s="622">
        <f t="shared" si="14"/>
        <v>0</v>
      </c>
      <c r="I152" s="617"/>
      <c r="J152" s="617"/>
      <c r="K152" s="612">
        <f t="shared" si="13"/>
        <v>2033</v>
      </c>
      <c r="L152" s="612"/>
    </row>
    <row r="153" spans="1:12" x14ac:dyDescent="0.25">
      <c r="A153" s="482">
        <v>45767</v>
      </c>
      <c r="B153" s="505">
        <v>48903</v>
      </c>
      <c r="C153" s="618">
        <f t="shared" si="20"/>
        <v>31</v>
      </c>
      <c r="D153" s="619">
        <f t="shared" si="16"/>
        <v>0</v>
      </c>
      <c r="E153" s="619">
        <f t="shared" si="18"/>
        <v>0</v>
      </c>
      <c r="F153" s="620">
        <f t="shared" si="23"/>
        <v>0</v>
      </c>
      <c r="G153" s="619">
        <f t="shared" si="19"/>
        <v>0</v>
      </c>
      <c r="H153" s="622">
        <f t="shared" si="14"/>
        <v>0</v>
      </c>
      <c r="I153" s="612"/>
      <c r="J153" s="612"/>
      <c r="K153" s="612">
        <f t="shared" si="13"/>
        <v>2033</v>
      </c>
      <c r="L153" s="612"/>
    </row>
    <row r="154" spans="1:12" ht="15.75" thickBot="1" x14ac:dyDescent="0.3">
      <c r="A154" s="483">
        <v>45797</v>
      </c>
      <c r="B154" s="504">
        <v>48933</v>
      </c>
      <c r="C154" s="618">
        <f t="shared" si="20"/>
        <v>30</v>
      </c>
      <c r="D154" s="619">
        <f t="shared" si="16"/>
        <v>0</v>
      </c>
      <c r="E154" s="619">
        <f t="shared" si="18"/>
        <v>0</v>
      </c>
      <c r="F154" s="620">
        <f t="shared" si="23"/>
        <v>0</v>
      </c>
      <c r="G154" s="619">
        <f t="shared" si="19"/>
        <v>0</v>
      </c>
      <c r="H154" s="622">
        <f t="shared" si="14"/>
        <v>0</v>
      </c>
      <c r="I154" s="612"/>
      <c r="J154" s="612"/>
      <c r="K154" s="612">
        <f t="shared" si="13"/>
        <v>2033</v>
      </c>
      <c r="L154" s="612"/>
    </row>
    <row r="155" spans="1:12" x14ac:dyDescent="0.25">
      <c r="A155" s="482">
        <v>45828</v>
      </c>
      <c r="B155" s="505">
        <v>48964</v>
      </c>
      <c r="C155" s="618">
        <f t="shared" si="20"/>
        <v>31</v>
      </c>
      <c r="D155" s="619">
        <f t="shared" si="16"/>
        <v>0</v>
      </c>
      <c r="E155" s="619">
        <f t="shared" si="18"/>
        <v>0</v>
      </c>
      <c r="F155" s="620">
        <f t="shared" si="23"/>
        <v>0</v>
      </c>
      <c r="G155" s="619">
        <f t="shared" si="19"/>
        <v>0</v>
      </c>
      <c r="H155" s="622">
        <f t="shared" si="14"/>
        <v>0</v>
      </c>
      <c r="I155" s="612"/>
      <c r="J155" s="612"/>
      <c r="K155" s="612">
        <f t="shared" si="13"/>
        <v>2034</v>
      </c>
      <c r="L155" s="612"/>
    </row>
    <row r="156" spans="1:12" ht="15.75" thickBot="1" x14ac:dyDescent="0.3">
      <c r="A156" s="483">
        <v>45858</v>
      </c>
      <c r="B156" s="504">
        <v>48995</v>
      </c>
      <c r="C156" s="618">
        <f t="shared" si="20"/>
        <v>31</v>
      </c>
      <c r="D156" s="619">
        <f t="shared" si="16"/>
        <v>0</v>
      </c>
      <c r="E156" s="619">
        <f t="shared" si="18"/>
        <v>0</v>
      </c>
      <c r="F156" s="620">
        <f t="shared" si="23"/>
        <v>0</v>
      </c>
      <c r="G156" s="619">
        <f t="shared" si="19"/>
        <v>0</v>
      </c>
      <c r="H156" s="622">
        <f t="shared" si="14"/>
        <v>0</v>
      </c>
      <c r="I156" s="612"/>
      <c r="J156" s="612"/>
      <c r="K156" s="612">
        <f t="shared" si="13"/>
        <v>2034</v>
      </c>
      <c r="L156" s="612"/>
    </row>
    <row r="157" spans="1:12" x14ac:dyDescent="0.25">
      <c r="A157" s="482">
        <v>45889</v>
      </c>
      <c r="B157" s="505">
        <v>49023</v>
      </c>
      <c r="C157" s="618">
        <f t="shared" si="20"/>
        <v>28</v>
      </c>
      <c r="D157" s="619">
        <f t="shared" si="16"/>
        <v>0</v>
      </c>
      <c r="E157" s="619">
        <f t="shared" si="18"/>
        <v>0</v>
      </c>
      <c r="F157" s="620">
        <f t="shared" si="23"/>
        <v>0</v>
      </c>
      <c r="G157" s="619">
        <f t="shared" si="19"/>
        <v>0</v>
      </c>
      <c r="H157" s="622">
        <f t="shared" si="14"/>
        <v>0</v>
      </c>
      <c r="I157" s="612"/>
      <c r="J157" s="612"/>
      <c r="K157" s="612">
        <f t="shared" si="13"/>
        <v>2034</v>
      </c>
      <c r="L157" s="612"/>
    </row>
    <row r="158" spans="1:12" ht="15.75" thickBot="1" x14ac:dyDescent="0.3">
      <c r="A158" s="483">
        <v>45920</v>
      </c>
      <c r="B158" s="504">
        <v>49054</v>
      </c>
      <c r="C158" s="618">
        <f t="shared" si="20"/>
        <v>31</v>
      </c>
      <c r="D158" s="619">
        <f t="shared" si="16"/>
        <v>0</v>
      </c>
      <c r="E158" s="619">
        <f t="shared" si="18"/>
        <v>0</v>
      </c>
      <c r="F158" s="620">
        <f t="shared" si="23"/>
        <v>0</v>
      </c>
      <c r="G158" s="619">
        <f t="shared" si="19"/>
        <v>0</v>
      </c>
      <c r="H158" s="622">
        <f t="shared" si="14"/>
        <v>0</v>
      </c>
      <c r="I158" s="612"/>
      <c r="J158" s="612"/>
      <c r="K158" s="612">
        <f t="shared" si="13"/>
        <v>2034</v>
      </c>
      <c r="L158" s="612"/>
    </row>
    <row r="159" spans="1:12" x14ac:dyDescent="0.25">
      <c r="A159" s="482">
        <v>45950</v>
      </c>
      <c r="B159" s="505">
        <v>49084</v>
      </c>
      <c r="C159" s="618">
        <f t="shared" si="20"/>
        <v>30</v>
      </c>
      <c r="D159" s="619">
        <f t="shared" si="16"/>
        <v>0</v>
      </c>
      <c r="E159" s="619">
        <f t="shared" si="18"/>
        <v>0</v>
      </c>
      <c r="F159" s="620">
        <f t="shared" si="23"/>
        <v>0</v>
      </c>
      <c r="G159" s="619">
        <f t="shared" si="19"/>
        <v>0</v>
      </c>
      <c r="H159" s="622">
        <f t="shared" si="14"/>
        <v>0</v>
      </c>
      <c r="I159" s="612"/>
      <c r="J159" s="612"/>
      <c r="K159" s="612">
        <f t="shared" si="13"/>
        <v>2034</v>
      </c>
      <c r="L159" s="612"/>
    </row>
    <row r="160" spans="1:12" ht="15.75" thickBot="1" x14ac:dyDescent="0.3">
      <c r="A160" s="483">
        <v>45981</v>
      </c>
      <c r="B160" s="504">
        <v>49115</v>
      </c>
      <c r="C160" s="618">
        <f t="shared" si="20"/>
        <v>31</v>
      </c>
      <c r="D160" s="619">
        <f t="shared" si="16"/>
        <v>0</v>
      </c>
      <c r="E160" s="619">
        <f t="shared" si="18"/>
        <v>0</v>
      </c>
      <c r="F160" s="620">
        <f t="shared" si="23"/>
        <v>0</v>
      </c>
      <c r="G160" s="619">
        <f t="shared" si="19"/>
        <v>0</v>
      </c>
      <c r="H160" s="622">
        <f t="shared" si="14"/>
        <v>0</v>
      </c>
      <c r="I160" s="612"/>
      <c r="J160" s="612"/>
      <c r="K160" s="612">
        <f t="shared" si="13"/>
        <v>2034</v>
      </c>
      <c r="L160" s="612"/>
    </row>
    <row r="161" spans="1:12" x14ac:dyDescent="0.25">
      <c r="A161" s="482">
        <v>46011</v>
      </c>
      <c r="B161" s="505">
        <v>49145</v>
      </c>
      <c r="C161" s="618">
        <f t="shared" si="20"/>
        <v>30</v>
      </c>
      <c r="D161" s="619">
        <f t="shared" si="16"/>
        <v>0</v>
      </c>
      <c r="E161" s="619">
        <f t="shared" si="18"/>
        <v>0</v>
      </c>
      <c r="F161" s="620">
        <f t="shared" si="23"/>
        <v>0</v>
      </c>
      <c r="G161" s="619">
        <f t="shared" si="19"/>
        <v>0</v>
      </c>
      <c r="H161" s="622">
        <f t="shared" si="14"/>
        <v>0</v>
      </c>
      <c r="I161" s="612"/>
      <c r="J161" s="612"/>
      <c r="K161" s="612">
        <f t="shared" si="13"/>
        <v>2034</v>
      </c>
      <c r="L161" s="612"/>
    </row>
    <row r="162" spans="1:12" ht="15.75" thickBot="1" x14ac:dyDescent="0.3">
      <c r="A162" s="484">
        <v>46042</v>
      </c>
      <c r="B162" s="504">
        <v>49176</v>
      </c>
      <c r="C162" s="623">
        <f t="shared" si="20"/>
        <v>31</v>
      </c>
      <c r="D162" s="619">
        <f t="shared" si="16"/>
        <v>0</v>
      </c>
      <c r="E162" s="619">
        <f t="shared" si="18"/>
        <v>0</v>
      </c>
      <c r="F162" s="624">
        <f t="shared" si="23"/>
        <v>0</v>
      </c>
      <c r="G162" s="625">
        <f t="shared" si="19"/>
        <v>0</v>
      </c>
      <c r="H162" s="622">
        <f t="shared" si="14"/>
        <v>0</v>
      </c>
      <c r="I162" s="617">
        <f>SUMIF(K$42:K$162,L162,D$42:D$162)</f>
        <v>0</v>
      </c>
      <c r="J162" s="617">
        <f>SUMIF(K$42:K$162,L162,E$42:E$162)</f>
        <v>0</v>
      </c>
      <c r="K162" s="612">
        <f>YEAR(B162)</f>
        <v>2034</v>
      </c>
      <c r="L162" s="612">
        <f>L151+1</f>
        <v>2034</v>
      </c>
    </row>
    <row r="163" spans="1:12" x14ac:dyDescent="0.25">
      <c r="A163" s="59"/>
      <c r="B163" s="505">
        <v>49207</v>
      </c>
      <c r="C163" s="623">
        <f t="shared" si="20"/>
        <v>31</v>
      </c>
      <c r="D163" s="619">
        <f t="shared" si="16"/>
        <v>0</v>
      </c>
      <c r="E163" s="619">
        <f t="shared" si="18"/>
        <v>0</v>
      </c>
      <c r="F163" s="624">
        <f t="shared" si="23"/>
        <v>0</v>
      </c>
      <c r="G163" s="625">
        <f t="shared" si="19"/>
        <v>0</v>
      </c>
      <c r="H163" s="622">
        <f t="shared" si="14"/>
        <v>0</v>
      </c>
      <c r="I163" s="617">
        <f>I151+I150</f>
        <v>0</v>
      </c>
      <c r="J163" s="617">
        <f>J151+J150</f>
        <v>0</v>
      </c>
      <c r="K163" s="612">
        <f t="shared" si="13"/>
        <v>2034</v>
      </c>
      <c r="L163" s="612"/>
    </row>
    <row r="164" spans="1:12" ht="15.75" thickBot="1" x14ac:dyDescent="0.3">
      <c r="B164" s="504">
        <v>49237</v>
      </c>
      <c r="C164" s="623">
        <f t="shared" si="20"/>
        <v>30</v>
      </c>
      <c r="D164" s="619">
        <f t="shared" si="16"/>
        <v>0</v>
      </c>
      <c r="E164" s="619">
        <f t="shared" si="18"/>
        <v>0</v>
      </c>
      <c r="F164" s="624">
        <f t="shared" si="23"/>
        <v>0</v>
      </c>
      <c r="G164" s="625">
        <f t="shared" si="19"/>
        <v>0</v>
      </c>
      <c r="H164" s="622">
        <f t="shared" si="14"/>
        <v>0</v>
      </c>
      <c r="I164" s="617"/>
      <c r="J164" s="617"/>
      <c r="K164" s="612">
        <f>YEAR(B164)</f>
        <v>2034</v>
      </c>
      <c r="L164" s="612"/>
    </row>
    <row r="165" spans="1:12" x14ac:dyDescent="0.25">
      <c r="B165" s="505">
        <v>49268</v>
      </c>
      <c r="C165" s="623">
        <f t="shared" si="20"/>
        <v>31</v>
      </c>
      <c r="D165" s="619">
        <f t="shared" si="16"/>
        <v>0</v>
      </c>
      <c r="E165" s="619">
        <f t="shared" si="18"/>
        <v>0</v>
      </c>
      <c r="F165" s="624">
        <f t="shared" si="23"/>
        <v>0</v>
      </c>
      <c r="G165" s="625">
        <f t="shared" si="19"/>
        <v>0</v>
      </c>
      <c r="H165" s="622">
        <f t="shared" si="14"/>
        <v>0</v>
      </c>
      <c r="I165" s="612"/>
      <c r="J165" s="612"/>
      <c r="K165" s="612">
        <f t="shared" ref="K165:K228" si="24">YEAR(B165)</f>
        <v>2034</v>
      </c>
      <c r="L165" s="612"/>
    </row>
    <row r="166" spans="1:12" ht="15.75" thickBot="1" x14ac:dyDescent="0.3">
      <c r="B166" s="504">
        <v>49298</v>
      </c>
      <c r="C166" s="623">
        <f t="shared" si="20"/>
        <v>30</v>
      </c>
      <c r="D166" s="619">
        <f t="shared" si="16"/>
        <v>0</v>
      </c>
      <c r="E166" s="619">
        <f t="shared" si="18"/>
        <v>0</v>
      </c>
      <c r="F166" s="624">
        <f t="shared" si="23"/>
        <v>0</v>
      </c>
      <c r="G166" s="625">
        <f t="shared" si="19"/>
        <v>0</v>
      </c>
      <c r="H166" s="622">
        <f t="shared" si="14"/>
        <v>0</v>
      </c>
      <c r="I166" s="612"/>
      <c r="J166" s="612"/>
      <c r="K166" s="612">
        <f t="shared" si="24"/>
        <v>2034</v>
      </c>
      <c r="L166" s="612"/>
    </row>
    <row r="167" spans="1:12" x14ac:dyDescent="0.25">
      <c r="B167" s="505">
        <v>49329</v>
      </c>
      <c r="C167" s="623">
        <f t="shared" si="20"/>
        <v>31</v>
      </c>
      <c r="D167" s="619">
        <f t="shared" si="16"/>
        <v>0</v>
      </c>
      <c r="E167" s="619">
        <f t="shared" si="18"/>
        <v>0</v>
      </c>
      <c r="F167" s="624">
        <f t="shared" si="23"/>
        <v>0</v>
      </c>
      <c r="G167" s="625">
        <f t="shared" si="19"/>
        <v>0</v>
      </c>
      <c r="H167" s="622">
        <f t="shared" si="14"/>
        <v>0</v>
      </c>
      <c r="I167" s="612"/>
      <c r="J167" s="612"/>
      <c r="K167" s="612">
        <f t="shared" si="24"/>
        <v>2035</v>
      </c>
      <c r="L167" s="612"/>
    </row>
    <row r="168" spans="1:12" ht="15.75" thickBot="1" x14ac:dyDescent="0.3">
      <c r="B168" s="504">
        <v>49360</v>
      </c>
      <c r="C168" s="623">
        <f t="shared" si="20"/>
        <v>31</v>
      </c>
      <c r="D168" s="619">
        <f t="shared" si="16"/>
        <v>0</v>
      </c>
      <c r="E168" s="619">
        <f t="shared" si="18"/>
        <v>0</v>
      </c>
      <c r="F168" s="624">
        <f t="shared" si="23"/>
        <v>0</v>
      </c>
      <c r="G168" s="625">
        <f t="shared" si="19"/>
        <v>0</v>
      </c>
      <c r="H168" s="622">
        <f t="shared" si="14"/>
        <v>0</v>
      </c>
      <c r="I168" s="612"/>
      <c r="J168" s="612"/>
      <c r="K168" s="612">
        <f t="shared" si="24"/>
        <v>2035</v>
      </c>
      <c r="L168" s="612"/>
    </row>
    <row r="169" spans="1:12" x14ac:dyDescent="0.25">
      <c r="B169" s="505">
        <v>49388</v>
      </c>
      <c r="C169" s="623">
        <f t="shared" si="20"/>
        <v>28</v>
      </c>
      <c r="D169" s="619">
        <f t="shared" si="16"/>
        <v>0</v>
      </c>
      <c r="E169" s="619">
        <f t="shared" si="18"/>
        <v>0</v>
      </c>
      <c r="F169" s="624">
        <f t="shared" si="23"/>
        <v>0</v>
      </c>
      <c r="G169" s="625">
        <f t="shared" si="19"/>
        <v>0</v>
      </c>
      <c r="H169" s="622">
        <f t="shared" si="14"/>
        <v>0</v>
      </c>
      <c r="I169" s="612"/>
      <c r="J169" s="612"/>
      <c r="K169" s="612">
        <f t="shared" si="24"/>
        <v>2035</v>
      </c>
      <c r="L169" s="612"/>
    </row>
    <row r="170" spans="1:12" ht="15.75" thickBot="1" x14ac:dyDescent="0.3">
      <c r="B170" s="504">
        <v>49419</v>
      </c>
      <c r="C170" s="623">
        <f t="shared" si="20"/>
        <v>31</v>
      </c>
      <c r="D170" s="619">
        <f t="shared" si="16"/>
        <v>0</v>
      </c>
      <c r="E170" s="619">
        <f t="shared" si="18"/>
        <v>0</v>
      </c>
      <c r="F170" s="624">
        <f t="shared" si="23"/>
        <v>0</v>
      </c>
      <c r="G170" s="625">
        <f t="shared" si="19"/>
        <v>0</v>
      </c>
      <c r="H170" s="622">
        <f t="shared" si="14"/>
        <v>0</v>
      </c>
      <c r="I170" s="612"/>
      <c r="J170" s="612"/>
      <c r="K170" s="612">
        <f t="shared" si="24"/>
        <v>2035</v>
      </c>
      <c r="L170" s="612"/>
    </row>
    <row r="171" spans="1:12" x14ac:dyDescent="0.25">
      <c r="B171" s="505">
        <v>49449</v>
      </c>
      <c r="C171" s="623">
        <f t="shared" si="20"/>
        <v>30</v>
      </c>
      <c r="D171" s="619">
        <f t="shared" si="16"/>
        <v>0</v>
      </c>
      <c r="E171" s="619">
        <f t="shared" si="18"/>
        <v>0</v>
      </c>
      <c r="F171" s="624">
        <f t="shared" si="23"/>
        <v>0</v>
      </c>
      <c r="G171" s="625">
        <f t="shared" si="19"/>
        <v>0</v>
      </c>
      <c r="H171" s="622">
        <f t="shared" si="14"/>
        <v>0</v>
      </c>
      <c r="I171" s="612"/>
      <c r="J171" s="612"/>
      <c r="K171" s="612">
        <f t="shared" si="24"/>
        <v>2035</v>
      </c>
      <c r="L171" s="612"/>
    </row>
    <row r="172" spans="1:12" ht="15.75" thickBot="1" x14ac:dyDescent="0.3">
      <c r="B172" s="504">
        <v>49480</v>
      </c>
      <c r="C172" s="623">
        <f t="shared" si="20"/>
        <v>31</v>
      </c>
      <c r="D172" s="619">
        <f t="shared" si="16"/>
        <v>0</v>
      </c>
      <c r="E172" s="619">
        <f t="shared" si="18"/>
        <v>0</v>
      </c>
      <c r="F172" s="624">
        <f t="shared" si="23"/>
        <v>0</v>
      </c>
      <c r="G172" s="625">
        <f t="shared" si="19"/>
        <v>0</v>
      </c>
      <c r="H172" s="622">
        <f t="shared" ref="H172:H235" si="25">$H$43</f>
        <v>0</v>
      </c>
      <c r="I172" s="612"/>
      <c r="J172" s="612"/>
      <c r="K172" s="612">
        <f t="shared" si="24"/>
        <v>2035</v>
      </c>
      <c r="L172" s="612"/>
    </row>
    <row r="173" spans="1:12" x14ac:dyDescent="0.25">
      <c r="B173" s="505">
        <v>49510</v>
      </c>
      <c r="C173" s="623">
        <f t="shared" si="20"/>
        <v>30</v>
      </c>
      <c r="D173" s="619">
        <f t="shared" si="16"/>
        <v>0</v>
      </c>
      <c r="E173" s="619">
        <f t="shared" si="18"/>
        <v>0</v>
      </c>
      <c r="F173" s="624">
        <f t="shared" si="23"/>
        <v>0</v>
      </c>
      <c r="G173" s="625">
        <f t="shared" si="19"/>
        <v>0</v>
      </c>
      <c r="H173" s="622">
        <f t="shared" si="25"/>
        <v>0</v>
      </c>
      <c r="I173" s="612"/>
      <c r="J173" s="612"/>
      <c r="K173" s="612">
        <f t="shared" si="24"/>
        <v>2035</v>
      </c>
      <c r="L173" s="612"/>
    </row>
    <row r="174" spans="1:12" ht="15.75" thickBot="1" x14ac:dyDescent="0.3">
      <c r="B174" s="504">
        <v>49541</v>
      </c>
      <c r="C174" s="623">
        <f t="shared" si="20"/>
        <v>31</v>
      </c>
      <c r="D174" s="619">
        <f t="shared" si="16"/>
        <v>0</v>
      </c>
      <c r="E174" s="619">
        <f t="shared" si="18"/>
        <v>0</v>
      </c>
      <c r="F174" s="624">
        <f t="shared" si="23"/>
        <v>0</v>
      </c>
      <c r="G174" s="625">
        <f t="shared" si="19"/>
        <v>0</v>
      </c>
      <c r="H174" s="622">
        <f t="shared" si="25"/>
        <v>0</v>
      </c>
      <c r="I174" s="617"/>
      <c r="J174" s="617"/>
      <c r="K174" s="612">
        <f t="shared" si="24"/>
        <v>2035</v>
      </c>
      <c r="L174" s="612">
        <f>L162+1</f>
        <v>2035</v>
      </c>
    </row>
    <row r="175" spans="1:12" x14ac:dyDescent="0.25">
      <c r="B175" s="505">
        <v>49572</v>
      </c>
      <c r="C175" s="623">
        <f t="shared" si="20"/>
        <v>31</v>
      </c>
      <c r="D175" s="619">
        <f t="shared" si="16"/>
        <v>0</v>
      </c>
      <c r="E175" s="619">
        <f t="shared" si="18"/>
        <v>0</v>
      </c>
      <c r="F175" s="624">
        <f t="shared" si="23"/>
        <v>0</v>
      </c>
      <c r="G175" s="625">
        <f t="shared" si="19"/>
        <v>0</v>
      </c>
      <c r="H175" s="622">
        <f t="shared" si="25"/>
        <v>0</v>
      </c>
      <c r="I175" s="617"/>
      <c r="J175" s="617"/>
      <c r="K175" s="612">
        <f t="shared" si="24"/>
        <v>2035</v>
      </c>
      <c r="L175" s="612"/>
    </row>
    <row r="176" spans="1:12" ht="15.75" thickBot="1" x14ac:dyDescent="0.3">
      <c r="B176" s="504">
        <v>49602</v>
      </c>
      <c r="C176" s="623">
        <f t="shared" si="20"/>
        <v>30</v>
      </c>
      <c r="D176" s="619">
        <f t="shared" si="16"/>
        <v>0</v>
      </c>
      <c r="E176" s="619">
        <f t="shared" si="18"/>
        <v>0</v>
      </c>
      <c r="F176" s="624">
        <f t="shared" si="23"/>
        <v>0</v>
      </c>
      <c r="G176" s="625">
        <f t="shared" si="19"/>
        <v>0</v>
      </c>
      <c r="H176" s="622">
        <f t="shared" si="25"/>
        <v>0</v>
      </c>
      <c r="I176" s="617"/>
      <c r="J176" s="617"/>
      <c r="K176" s="612">
        <f t="shared" si="24"/>
        <v>2035</v>
      </c>
      <c r="L176" s="612"/>
    </row>
    <row r="177" spans="2:12" x14ac:dyDescent="0.25">
      <c r="B177" s="505">
        <v>49633</v>
      </c>
      <c r="C177" s="623">
        <f t="shared" si="20"/>
        <v>31</v>
      </c>
      <c r="D177" s="619">
        <f t="shared" ref="D177:D240" si="26">IF(F176&lt;=0.1,0,$F$42/$G$39)</f>
        <v>0</v>
      </c>
      <c r="E177" s="619">
        <f t="shared" si="18"/>
        <v>0</v>
      </c>
      <c r="F177" s="624">
        <f t="shared" si="23"/>
        <v>0</v>
      </c>
      <c r="G177" s="625">
        <f t="shared" si="19"/>
        <v>0</v>
      </c>
      <c r="H177" s="622">
        <f t="shared" si="25"/>
        <v>0</v>
      </c>
      <c r="I177" s="612"/>
      <c r="J177" s="612"/>
      <c r="K177" s="612">
        <f t="shared" si="24"/>
        <v>2035</v>
      </c>
      <c r="L177" s="612"/>
    </row>
    <row r="178" spans="2:12" ht="15.75" thickBot="1" x14ac:dyDescent="0.3">
      <c r="B178" s="504">
        <v>49663</v>
      </c>
      <c r="C178" s="623">
        <f t="shared" si="20"/>
        <v>30</v>
      </c>
      <c r="D178" s="619">
        <f t="shared" si="26"/>
        <v>0</v>
      </c>
      <c r="E178" s="619">
        <f t="shared" si="18"/>
        <v>0</v>
      </c>
      <c r="F178" s="624">
        <f t="shared" si="23"/>
        <v>0</v>
      </c>
      <c r="G178" s="625">
        <f t="shared" si="19"/>
        <v>0</v>
      </c>
      <c r="H178" s="622">
        <f t="shared" si="25"/>
        <v>0</v>
      </c>
      <c r="I178" s="612"/>
      <c r="J178" s="612"/>
      <c r="K178" s="612">
        <f t="shared" si="24"/>
        <v>2035</v>
      </c>
      <c r="L178" s="612"/>
    </row>
    <row r="179" spans="2:12" x14ac:dyDescent="0.25">
      <c r="B179" s="505">
        <v>49694</v>
      </c>
      <c r="C179" s="623">
        <f t="shared" si="20"/>
        <v>31</v>
      </c>
      <c r="D179" s="619">
        <f t="shared" si="26"/>
        <v>0</v>
      </c>
      <c r="E179" s="619">
        <f t="shared" si="18"/>
        <v>0</v>
      </c>
      <c r="F179" s="624">
        <f t="shared" si="23"/>
        <v>0</v>
      </c>
      <c r="G179" s="625">
        <f t="shared" si="19"/>
        <v>0</v>
      </c>
      <c r="H179" s="622">
        <f t="shared" si="25"/>
        <v>0</v>
      </c>
      <c r="I179" s="612"/>
      <c r="J179" s="612"/>
      <c r="K179" s="612">
        <f t="shared" si="24"/>
        <v>2036</v>
      </c>
      <c r="L179" s="612"/>
    </row>
    <row r="180" spans="2:12" ht="15.75" thickBot="1" x14ac:dyDescent="0.3">
      <c r="B180" s="504">
        <v>49725</v>
      </c>
      <c r="C180" s="623">
        <f t="shared" si="20"/>
        <v>31</v>
      </c>
      <c r="D180" s="619">
        <f t="shared" si="26"/>
        <v>0</v>
      </c>
      <c r="E180" s="619">
        <f t="shared" si="18"/>
        <v>0</v>
      </c>
      <c r="F180" s="624">
        <f t="shared" si="23"/>
        <v>0</v>
      </c>
      <c r="G180" s="625">
        <f t="shared" si="19"/>
        <v>0</v>
      </c>
      <c r="H180" s="622">
        <f t="shared" si="25"/>
        <v>0</v>
      </c>
      <c r="I180" s="612"/>
      <c r="J180" s="612"/>
      <c r="K180" s="612">
        <f t="shared" si="24"/>
        <v>2036</v>
      </c>
      <c r="L180" s="612"/>
    </row>
    <row r="181" spans="2:12" x14ac:dyDescent="0.25">
      <c r="B181" s="505">
        <v>49754</v>
      </c>
      <c r="C181" s="623">
        <f t="shared" si="20"/>
        <v>29</v>
      </c>
      <c r="D181" s="619">
        <f t="shared" si="26"/>
        <v>0</v>
      </c>
      <c r="E181" s="619">
        <f t="shared" si="18"/>
        <v>0</v>
      </c>
      <c r="F181" s="624">
        <f t="shared" si="23"/>
        <v>0</v>
      </c>
      <c r="G181" s="625">
        <f t="shared" si="19"/>
        <v>0</v>
      </c>
      <c r="H181" s="622">
        <f t="shared" si="25"/>
        <v>0</v>
      </c>
      <c r="I181" s="612"/>
      <c r="J181" s="612"/>
      <c r="K181" s="612">
        <f t="shared" si="24"/>
        <v>2036</v>
      </c>
      <c r="L181" s="612"/>
    </row>
    <row r="182" spans="2:12" ht="15.75" thickBot="1" x14ac:dyDescent="0.3">
      <c r="B182" s="504">
        <v>49785</v>
      </c>
      <c r="C182" s="623">
        <f t="shared" si="20"/>
        <v>31</v>
      </c>
      <c r="D182" s="619">
        <f t="shared" si="26"/>
        <v>0</v>
      </c>
      <c r="E182" s="619">
        <f t="shared" si="18"/>
        <v>0</v>
      </c>
      <c r="F182" s="624">
        <f t="shared" si="23"/>
        <v>0</v>
      </c>
      <c r="G182" s="625">
        <f t="shared" si="19"/>
        <v>0</v>
      </c>
      <c r="H182" s="622">
        <f t="shared" si="25"/>
        <v>0</v>
      </c>
      <c r="I182" s="612"/>
      <c r="J182" s="612"/>
      <c r="K182" s="612">
        <f t="shared" si="24"/>
        <v>2036</v>
      </c>
      <c r="L182" s="612"/>
    </row>
    <row r="183" spans="2:12" x14ac:dyDescent="0.25">
      <c r="B183" s="505">
        <v>49815</v>
      </c>
      <c r="C183" s="623">
        <f t="shared" si="20"/>
        <v>30</v>
      </c>
      <c r="D183" s="619">
        <f t="shared" si="26"/>
        <v>0</v>
      </c>
      <c r="E183" s="619">
        <f t="shared" ref="E183:E246" si="27">IF(D183&lt;0.1,0,(F182*C183*H183/36500))</f>
        <v>0</v>
      </c>
      <c r="F183" s="624">
        <f t="shared" si="23"/>
        <v>0</v>
      </c>
      <c r="G183" s="625">
        <f t="shared" si="19"/>
        <v>0</v>
      </c>
      <c r="H183" s="622">
        <f t="shared" si="25"/>
        <v>0</v>
      </c>
      <c r="I183" s="612"/>
      <c r="J183" s="612"/>
      <c r="K183" s="612">
        <f t="shared" si="24"/>
        <v>2036</v>
      </c>
      <c r="L183" s="612"/>
    </row>
    <row r="184" spans="2:12" ht="15.75" thickBot="1" x14ac:dyDescent="0.3">
      <c r="B184" s="504">
        <v>49846</v>
      </c>
      <c r="C184" s="623">
        <f t="shared" si="20"/>
        <v>31</v>
      </c>
      <c r="D184" s="619">
        <f t="shared" si="26"/>
        <v>0</v>
      </c>
      <c r="E184" s="619">
        <f t="shared" si="27"/>
        <v>0</v>
      </c>
      <c r="F184" s="624">
        <f t="shared" si="23"/>
        <v>0</v>
      </c>
      <c r="G184" s="625">
        <f t="shared" si="19"/>
        <v>0</v>
      </c>
      <c r="H184" s="622">
        <f t="shared" si="25"/>
        <v>0</v>
      </c>
      <c r="I184" s="612"/>
      <c r="J184" s="612"/>
      <c r="K184" s="612">
        <f t="shared" si="24"/>
        <v>2036</v>
      </c>
      <c r="L184" s="612"/>
    </row>
    <row r="185" spans="2:12" x14ac:dyDescent="0.25">
      <c r="B185" s="505">
        <v>49876</v>
      </c>
      <c r="C185" s="623">
        <f t="shared" si="20"/>
        <v>30</v>
      </c>
      <c r="D185" s="619">
        <f t="shared" si="26"/>
        <v>0</v>
      </c>
      <c r="E185" s="619">
        <f t="shared" si="27"/>
        <v>0</v>
      </c>
      <c r="F185" s="624">
        <f t="shared" si="23"/>
        <v>0</v>
      </c>
      <c r="G185" s="625">
        <f t="shared" ref="G185:G248" si="28">D185+E185</f>
        <v>0</v>
      </c>
      <c r="H185" s="622">
        <f t="shared" si="25"/>
        <v>0</v>
      </c>
      <c r="I185" s="612"/>
      <c r="J185" s="612"/>
      <c r="K185" s="612">
        <f t="shared" si="24"/>
        <v>2036</v>
      </c>
      <c r="L185" s="612"/>
    </row>
    <row r="186" spans="2:12" ht="15.75" thickBot="1" x14ac:dyDescent="0.3">
      <c r="B186" s="504">
        <v>49907</v>
      </c>
      <c r="C186" s="623">
        <f t="shared" ref="C186:C249" si="29">B186-B185</f>
        <v>31</v>
      </c>
      <c r="D186" s="619">
        <f t="shared" si="26"/>
        <v>0</v>
      </c>
      <c r="E186" s="619">
        <f t="shared" si="27"/>
        <v>0</v>
      </c>
      <c r="F186" s="624">
        <f t="shared" si="23"/>
        <v>0</v>
      </c>
      <c r="G186" s="625">
        <f t="shared" si="28"/>
        <v>0</v>
      </c>
      <c r="H186" s="622">
        <f t="shared" si="25"/>
        <v>0</v>
      </c>
      <c r="I186" s="612"/>
      <c r="J186" s="612"/>
      <c r="K186" s="612">
        <f t="shared" si="24"/>
        <v>2036</v>
      </c>
      <c r="L186" s="612">
        <f>L174+1</f>
        <v>2036</v>
      </c>
    </row>
    <row r="187" spans="2:12" x14ac:dyDescent="0.25">
      <c r="B187" s="505">
        <v>49938</v>
      </c>
      <c r="C187" s="623">
        <f t="shared" si="29"/>
        <v>31</v>
      </c>
      <c r="D187" s="619">
        <f t="shared" si="26"/>
        <v>0</v>
      </c>
      <c r="E187" s="619">
        <f t="shared" si="27"/>
        <v>0</v>
      </c>
      <c r="F187" s="624">
        <f t="shared" si="23"/>
        <v>0</v>
      </c>
      <c r="G187" s="625">
        <f t="shared" si="28"/>
        <v>0</v>
      </c>
      <c r="H187" s="622">
        <f t="shared" si="25"/>
        <v>0</v>
      </c>
      <c r="I187" s="612"/>
      <c r="J187" s="612"/>
      <c r="K187" s="612">
        <f t="shared" si="24"/>
        <v>2036</v>
      </c>
      <c r="L187" s="612"/>
    </row>
    <row r="188" spans="2:12" ht="15.75" thickBot="1" x14ac:dyDescent="0.3">
      <c r="B188" s="504">
        <v>49968</v>
      </c>
      <c r="C188" s="623">
        <f t="shared" si="29"/>
        <v>30</v>
      </c>
      <c r="D188" s="619">
        <f t="shared" si="26"/>
        <v>0</v>
      </c>
      <c r="E188" s="619">
        <f t="shared" si="27"/>
        <v>0</v>
      </c>
      <c r="F188" s="624">
        <f t="shared" si="23"/>
        <v>0</v>
      </c>
      <c r="G188" s="625">
        <f t="shared" si="28"/>
        <v>0</v>
      </c>
      <c r="H188" s="622">
        <f t="shared" si="25"/>
        <v>0</v>
      </c>
      <c r="I188" s="612"/>
      <c r="J188" s="612"/>
      <c r="K188" s="612">
        <f t="shared" si="24"/>
        <v>2036</v>
      </c>
      <c r="L188" s="612"/>
    </row>
    <row r="189" spans="2:12" x14ac:dyDescent="0.25">
      <c r="B189" s="505">
        <v>49999</v>
      </c>
      <c r="C189" s="623">
        <f t="shared" si="29"/>
        <v>31</v>
      </c>
      <c r="D189" s="619">
        <f t="shared" si="26"/>
        <v>0</v>
      </c>
      <c r="E189" s="619">
        <f t="shared" si="27"/>
        <v>0</v>
      </c>
      <c r="F189" s="624">
        <f t="shared" si="23"/>
        <v>0</v>
      </c>
      <c r="G189" s="625">
        <f t="shared" si="28"/>
        <v>0</v>
      </c>
      <c r="H189" s="622">
        <f t="shared" si="25"/>
        <v>0</v>
      </c>
      <c r="I189" s="612"/>
      <c r="J189" s="612"/>
      <c r="K189" s="612">
        <f t="shared" si="24"/>
        <v>2036</v>
      </c>
      <c r="L189" s="612"/>
    </row>
    <row r="190" spans="2:12" ht="15.75" thickBot="1" x14ac:dyDescent="0.3">
      <c r="B190" s="504">
        <v>50029</v>
      </c>
      <c r="C190" s="623">
        <f t="shared" si="29"/>
        <v>30</v>
      </c>
      <c r="D190" s="619">
        <f t="shared" si="26"/>
        <v>0</v>
      </c>
      <c r="E190" s="619">
        <f t="shared" si="27"/>
        <v>0</v>
      </c>
      <c r="F190" s="624">
        <f t="shared" si="23"/>
        <v>0</v>
      </c>
      <c r="G190" s="625">
        <f t="shared" si="28"/>
        <v>0</v>
      </c>
      <c r="H190" s="622">
        <f t="shared" si="25"/>
        <v>0</v>
      </c>
      <c r="I190" s="612"/>
      <c r="J190" s="612"/>
      <c r="K190" s="612">
        <f t="shared" si="24"/>
        <v>2036</v>
      </c>
      <c r="L190" s="612"/>
    </row>
    <row r="191" spans="2:12" x14ac:dyDescent="0.25">
      <c r="B191" s="505">
        <v>50060</v>
      </c>
      <c r="C191" s="623">
        <f t="shared" si="29"/>
        <v>31</v>
      </c>
      <c r="D191" s="619">
        <f t="shared" si="26"/>
        <v>0</v>
      </c>
      <c r="E191" s="619">
        <f t="shared" si="27"/>
        <v>0</v>
      </c>
      <c r="F191" s="624">
        <f t="shared" si="23"/>
        <v>0</v>
      </c>
      <c r="G191" s="625">
        <f t="shared" si="28"/>
        <v>0</v>
      </c>
      <c r="H191" s="622">
        <f t="shared" si="25"/>
        <v>0</v>
      </c>
      <c r="I191" s="612"/>
      <c r="J191" s="612"/>
      <c r="K191" s="612">
        <f t="shared" si="24"/>
        <v>2037</v>
      </c>
      <c r="L191" s="612"/>
    </row>
    <row r="192" spans="2:12" ht="15.75" thickBot="1" x14ac:dyDescent="0.3">
      <c r="B192" s="504">
        <v>50091</v>
      </c>
      <c r="C192" s="623">
        <f t="shared" si="29"/>
        <v>31</v>
      </c>
      <c r="D192" s="619">
        <f t="shared" si="26"/>
        <v>0</v>
      </c>
      <c r="E192" s="619">
        <f t="shared" si="27"/>
        <v>0</v>
      </c>
      <c r="F192" s="624">
        <f t="shared" si="23"/>
        <v>0</v>
      </c>
      <c r="G192" s="625">
        <f t="shared" si="28"/>
        <v>0</v>
      </c>
      <c r="H192" s="622">
        <f t="shared" si="25"/>
        <v>0</v>
      </c>
      <c r="I192" s="612"/>
      <c r="J192" s="612"/>
      <c r="K192" s="612">
        <f t="shared" si="24"/>
        <v>2037</v>
      </c>
      <c r="L192" s="612"/>
    </row>
    <row r="193" spans="2:12" x14ac:dyDescent="0.25">
      <c r="B193" s="505">
        <v>50119</v>
      </c>
      <c r="C193" s="623">
        <f t="shared" si="29"/>
        <v>28</v>
      </c>
      <c r="D193" s="619">
        <f t="shared" si="26"/>
        <v>0</v>
      </c>
      <c r="E193" s="619">
        <f t="shared" si="27"/>
        <v>0</v>
      </c>
      <c r="F193" s="624">
        <f t="shared" si="23"/>
        <v>0</v>
      </c>
      <c r="G193" s="625">
        <f t="shared" si="28"/>
        <v>0</v>
      </c>
      <c r="H193" s="622">
        <f t="shared" si="25"/>
        <v>0</v>
      </c>
      <c r="I193" s="612"/>
      <c r="J193" s="612"/>
      <c r="K193" s="612">
        <f t="shared" si="24"/>
        <v>2037</v>
      </c>
      <c r="L193" s="612"/>
    </row>
    <row r="194" spans="2:12" ht="15.75" thickBot="1" x14ac:dyDescent="0.3">
      <c r="B194" s="504">
        <v>50150</v>
      </c>
      <c r="C194" s="623">
        <f t="shared" si="29"/>
        <v>31</v>
      </c>
      <c r="D194" s="619">
        <f t="shared" si="26"/>
        <v>0</v>
      </c>
      <c r="E194" s="619">
        <f t="shared" si="27"/>
        <v>0</v>
      </c>
      <c r="F194" s="624">
        <f t="shared" si="23"/>
        <v>0</v>
      </c>
      <c r="G194" s="625">
        <f t="shared" si="28"/>
        <v>0</v>
      </c>
      <c r="H194" s="622">
        <f t="shared" si="25"/>
        <v>0</v>
      </c>
      <c r="I194" s="612"/>
      <c r="J194" s="612"/>
      <c r="K194" s="612">
        <f t="shared" si="24"/>
        <v>2037</v>
      </c>
      <c r="L194" s="612"/>
    </row>
    <row r="195" spans="2:12" x14ac:dyDescent="0.25">
      <c r="B195" s="505">
        <v>50180</v>
      </c>
      <c r="C195" s="623">
        <f t="shared" si="29"/>
        <v>30</v>
      </c>
      <c r="D195" s="619">
        <f t="shared" si="26"/>
        <v>0</v>
      </c>
      <c r="E195" s="619">
        <f t="shared" si="27"/>
        <v>0</v>
      </c>
      <c r="F195" s="624">
        <f t="shared" si="23"/>
        <v>0</v>
      </c>
      <c r="G195" s="625">
        <f t="shared" si="28"/>
        <v>0</v>
      </c>
      <c r="H195" s="622">
        <f t="shared" si="25"/>
        <v>0</v>
      </c>
      <c r="I195" s="612"/>
      <c r="J195" s="612"/>
      <c r="K195" s="612">
        <f t="shared" si="24"/>
        <v>2037</v>
      </c>
      <c r="L195" s="612"/>
    </row>
    <row r="196" spans="2:12" ht="15.75" thickBot="1" x14ac:dyDescent="0.3">
      <c r="B196" s="504">
        <v>50211</v>
      </c>
      <c r="C196" s="623">
        <f t="shared" si="29"/>
        <v>31</v>
      </c>
      <c r="D196" s="619">
        <f t="shared" si="26"/>
        <v>0</v>
      </c>
      <c r="E196" s="619">
        <f t="shared" si="27"/>
        <v>0</v>
      </c>
      <c r="F196" s="624">
        <f t="shared" si="23"/>
        <v>0</v>
      </c>
      <c r="G196" s="625">
        <f t="shared" si="28"/>
        <v>0</v>
      </c>
      <c r="H196" s="622">
        <f t="shared" si="25"/>
        <v>0</v>
      </c>
      <c r="I196" s="612"/>
      <c r="J196" s="612"/>
      <c r="K196" s="612">
        <f t="shared" si="24"/>
        <v>2037</v>
      </c>
      <c r="L196" s="612"/>
    </row>
    <row r="197" spans="2:12" x14ac:dyDescent="0.25">
      <c r="B197" s="505">
        <v>50241</v>
      </c>
      <c r="C197" s="623">
        <f t="shared" si="29"/>
        <v>30</v>
      </c>
      <c r="D197" s="619">
        <f t="shared" si="26"/>
        <v>0</v>
      </c>
      <c r="E197" s="619">
        <f t="shared" si="27"/>
        <v>0</v>
      </c>
      <c r="F197" s="624">
        <f t="shared" si="23"/>
        <v>0</v>
      </c>
      <c r="G197" s="625">
        <f t="shared" si="28"/>
        <v>0</v>
      </c>
      <c r="H197" s="622">
        <f t="shared" si="25"/>
        <v>0</v>
      </c>
      <c r="I197" s="612"/>
      <c r="J197" s="612"/>
      <c r="K197" s="612">
        <f t="shared" si="24"/>
        <v>2037</v>
      </c>
      <c r="L197" s="612"/>
    </row>
    <row r="198" spans="2:12" ht="15.75" thickBot="1" x14ac:dyDescent="0.3">
      <c r="B198" s="504">
        <v>50272</v>
      </c>
      <c r="C198" s="623">
        <f t="shared" si="29"/>
        <v>31</v>
      </c>
      <c r="D198" s="619">
        <f t="shared" si="26"/>
        <v>0</v>
      </c>
      <c r="E198" s="619">
        <f t="shared" si="27"/>
        <v>0</v>
      </c>
      <c r="F198" s="624">
        <f t="shared" si="23"/>
        <v>0</v>
      </c>
      <c r="G198" s="625">
        <f t="shared" si="28"/>
        <v>0</v>
      </c>
      <c r="H198" s="622">
        <f t="shared" si="25"/>
        <v>0</v>
      </c>
      <c r="I198" s="612"/>
      <c r="J198" s="612"/>
      <c r="K198" s="612">
        <f t="shared" si="24"/>
        <v>2037</v>
      </c>
      <c r="L198" s="612">
        <f>L186+1</f>
        <v>2037</v>
      </c>
    </row>
    <row r="199" spans="2:12" x14ac:dyDescent="0.25">
      <c r="B199" s="505">
        <v>50303</v>
      </c>
      <c r="C199" s="623">
        <f t="shared" si="29"/>
        <v>31</v>
      </c>
      <c r="D199" s="619">
        <f t="shared" si="26"/>
        <v>0</v>
      </c>
      <c r="E199" s="619">
        <f t="shared" si="27"/>
        <v>0</v>
      </c>
      <c r="F199" s="624">
        <f t="shared" si="23"/>
        <v>0</v>
      </c>
      <c r="G199" s="625">
        <f t="shared" si="28"/>
        <v>0</v>
      </c>
      <c r="H199" s="622">
        <f t="shared" si="25"/>
        <v>0</v>
      </c>
      <c r="I199" s="612"/>
      <c r="J199" s="612"/>
      <c r="K199" s="612">
        <f t="shared" si="24"/>
        <v>2037</v>
      </c>
      <c r="L199" s="612"/>
    </row>
    <row r="200" spans="2:12" ht="15.75" thickBot="1" x14ac:dyDescent="0.3">
      <c r="B200" s="504">
        <v>50333</v>
      </c>
      <c r="C200" s="623">
        <f t="shared" si="29"/>
        <v>30</v>
      </c>
      <c r="D200" s="619">
        <f t="shared" si="26"/>
        <v>0</v>
      </c>
      <c r="E200" s="619">
        <f t="shared" si="27"/>
        <v>0</v>
      </c>
      <c r="F200" s="624">
        <f t="shared" si="23"/>
        <v>0</v>
      </c>
      <c r="G200" s="625">
        <f t="shared" si="28"/>
        <v>0</v>
      </c>
      <c r="H200" s="622">
        <f t="shared" si="25"/>
        <v>0</v>
      </c>
      <c r="I200" s="612"/>
      <c r="J200" s="612"/>
      <c r="K200" s="612">
        <f t="shared" si="24"/>
        <v>2037</v>
      </c>
      <c r="L200" s="612"/>
    </row>
    <row r="201" spans="2:12" x14ac:dyDescent="0.25">
      <c r="B201" s="505">
        <v>50364</v>
      </c>
      <c r="C201" s="623">
        <f t="shared" si="29"/>
        <v>31</v>
      </c>
      <c r="D201" s="619">
        <f t="shared" si="26"/>
        <v>0</v>
      </c>
      <c r="E201" s="619">
        <f t="shared" si="27"/>
        <v>0</v>
      </c>
      <c r="F201" s="624">
        <f t="shared" si="23"/>
        <v>0</v>
      </c>
      <c r="G201" s="625">
        <f t="shared" si="28"/>
        <v>0</v>
      </c>
      <c r="H201" s="622">
        <f t="shared" si="25"/>
        <v>0</v>
      </c>
      <c r="I201" s="612"/>
      <c r="J201" s="612"/>
      <c r="K201" s="612">
        <f t="shared" si="24"/>
        <v>2037</v>
      </c>
      <c r="L201" s="612"/>
    </row>
    <row r="202" spans="2:12" ht="15.75" thickBot="1" x14ac:dyDescent="0.3">
      <c r="B202" s="504">
        <v>50394</v>
      </c>
      <c r="C202" s="623">
        <f t="shared" si="29"/>
        <v>30</v>
      </c>
      <c r="D202" s="619">
        <f t="shared" si="26"/>
        <v>0</v>
      </c>
      <c r="E202" s="619">
        <f t="shared" si="27"/>
        <v>0</v>
      </c>
      <c r="F202" s="624">
        <f t="shared" si="23"/>
        <v>0</v>
      </c>
      <c r="G202" s="625">
        <f t="shared" si="28"/>
        <v>0</v>
      </c>
      <c r="H202" s="622">
        <f t="shared" si="25"/>
        <v>0</v>
      </c>
      <c r="I202" s="612"/>
      <c r="J202" s="612"/>
      <c r="K202" s="612">
        <f t="shared" si="24"/>
        <v>2037</v>
      </c>
      <c r="L202" s="612"/>
    </row>
    <row r="203" spans="2:12" x14ac:dyDescent="0.25">
      <c r="B203" s="505">
        <v>50425</v>
      </c>
      <c r="C203" s="623">
        <f t="shared" si="29"/>
        <v>31</v>
      </c>
      <c r="D203" s="619">
        <f t="shared" si="26"/>
        <v>0</v>
      </c>
      <c r="E203" s="619">
        <f t="shared" si="27"/>
        <v>0</v>
      </c>
      <c r="F203" s="624">
        <f t="shared" ref="F203:F266" si="30">F202-D203</f>
        <v>0</v>
      </c>
      <c r="G203" s="625">
        <f t="shared" si="28"/>
        <v>0</v>
      </c>
      <c r="H203" s="622">
        <f t="shared" si="25"/>
        <v>0</v>
      </c>
      <c r="I203" s="612"/>
      <c r="J203" s="612"/>
      <c r="K203" s="612">
        <f t="shared" si="24"/>
        <v>2038</v>
      </c>
      <c r="L203" s="612"/>
    </row>
    <row r="204" spans="2:12" ht="15.75" thickBot="1" x14ac:dyDescent="0.3">
      <c r="B204" s="504">
        <v>50456</v>
      </c>
      <c r="C204" s="623">
        <f t="shared" si="29"/>
        <v>31</v>
      </c>
      <c r="D204" s="619">
        <f t="shared" si="26"/>
        <v>0</v>
      </c>
      <c r="E204" s="619">
        <f t="shared" si="27"/>
        <v>0</v>
      </c>
      <c r="F204" s="624">
        <f t="shared" si="30"/>
        <v>0</v>
      </c>
      <c r="G204" s="625">
        <f t="shared" si="28"/>
        <v>0</v>
      </c>
      <c r="H204" s="622">
        <f t="shared" si="25"/>
        <v>0</v>
      </c>
      <c r="I204" s="612"/>
      <c r="J204" s="612"/>
      <c r="K204" s="612">
        <f t="shared" si="24"/>
        <v>2038</v>
      </c>
      <c r="L204" s="612"/>
    </row>
    <row r="205" spans="2:12" x14ac:dyDescent="0.25">
      <c r="B205" s="505">
        <v>50484</v>
      </c>
      <c r="C205" s="623">
        <f t="shared" si="29"/>
        <v>28</v>
      </c>
      <c r="D205" s="619">
        <f t="shared" si="26"/>
        <v>0</v>
      </c>
      <c r="E205" s="619">
        <f t="shared" si="27"/>
        <v>0</v>
      </c>
      <c r="F205" s="624">
        <f t="shared" si="30"/>
        <v>0</v>
      </c>
      <c r="G205" s="625">
        <f t="shared" si="28"/>
        <v>0</v>
      </c>
      <c r="H205" s="622">
        <f t="shared" si="25"/>
        <v>0</v>
      </c>
      <c r="I205" s="612"/>
      <c r="J205" s="612"/>
      <c r="K205" s="612">
        <f t="shared" si="24"/>
        <v>2038</v>
      </c>
      <c r="L205" s="612"/>
    </row>
    <row r="206" spans="2:12" ht="15.75" thickBot="1" x14ac:dyDescent="0.3">
      <c r="B206" s="504">
        <v>50515</v>
      </c>
      <c r="C206" s="623">
        <f t="shared" si="29"/>
        <v>31</v>
      </c>
      <c r="D206" s="619">
        <f t="shared" si="26"/>
        <v>0</v>
      </c>
      <c r="E206" s="619">
        <f t="shared" si="27"/>
        <v>0</v>
      </c>
      <c r="F206" s="624">
        <f t="shared" si="30"/>
        <v>0</v>
      </c>
      <c r="G206" s="625">
        <f t="shared" si="28"/>
        <v>0</v>
      </c>
      <c r="H206" s="622">
        <f t="shared" si="25"/>
        <v>0</v>
      </c>
      <c r="I206" s="612"/>
      <c r="J206" s="612"/>
      <c r="K206" s="612">
        <f t="shared" si="24"/>
        <v>2038</v>
      </c>
      <c r="L206" s="612"/>
    </row>
    <row r="207" spans="2:12" x14ac:dyDescent="0.25">
      <c r="B207" s="505">
        <v>50545</v>
      </c>
      <c r="C207" s="623">
        <f t="shared" si="29"/>
        <v>30</v>
      </c>
      <c r="D207" s="619">
        <f t="shared" si="26"/>
        <v>0</v>
      </c>
      <c r="E207" s="619">
        <f t="shared" si="27"/>
        <v>0</v>
      </c>
      <c r="F207" s="624">
        <f t="shared" si="30"/>
        <v>0</v>
      </c>
      <c r="G207" s="625">
        <f t="shared" si="28"/>
        <v>0</v>
      </c>
      <c r="H207" s="622">
        <f t="shared" si="25"/>
        <v>0</v>
      </c>
      <c r="I207" s="612"/>
      <c r="J207" s="612"/>
      <c r="K207" s="612">
        <f t="shared" si="24"/>
        <v>2038</v>
      </c>
      <c r="L207" s="612"/>
    </row>
    <row r="208" spans="2:12" ht="15.75" thickBot="1" x14ac:dyDescent="0.3">
      <c r="B208" s="504">
        <v>50576</v>
      </c>
      <c r="C208" s="623">
        <f t="shared" si="29"/>
        <v>31</v>
      </c>
      <c r="D208" s="619">
        <f t="shared" si="26"/>
        <v>0</v>
      </c>
      <c r="E208" s="619">
        <f t="shared" si="27"/>
        <v>0</v>
      </c>
      <c r="F208" s="624">
        <f t="shared" si="30"/>
        <v>0</v>
      </c>
      <c r="G208" s="625">
        <f t="shared" si="28"/>
        <v>0</v>
      </c>
      <c r="H208" s="622">
        <f t="shared" si="25"/>
        <v>0</v>
      </c>
      <c r="I208" s="612"/>
      <c r="J208" s="612"/>
      <c r="K208" s="612">
        <f t="shared" si="24"/>
        <v>2038</v>
      </c>
      <c r="L208" s="612"/>
    </row>
    <row r="209" spans="2:12" x14ac:dyDescent="0.25">
      <c r="B209" s="505">
        <v>50606</v>
      </c>
      <c r="C209" s="623">
        <f t="shared" si="29"/>
        <v>30</v>
      </c>
      <c r="D209" s="619">
        <f t="shared" si="26"/>
        <v>0</v>
      </c>
      <c r="E209" s="619">
        <f t="shared" si="27"/>
        <v>0</v>
      </c>
      <c r="F209" s="624">
        <f t="shared" si="30"/>
        <v>0</v>
      </c>
      <c r="G209" s="625">
        <f t="shared" si="28"/>
        <v>0</v>
      </c>
      <c r="H209" s="622">
        <f t="shared" si="25"/>
        <v>0</v>
      </c>
      <c r="I209" s="612"/>
      <c r="J209" s="612"/>
      <c r="K209" s="612">
        <f t="shared" si="24"/>
        <v>2038</v>
      </c>
      <c r="L209" s="612"/>
    </row>
    <row r="210" spans="2:12" ht="15.75" thickBot="1" x14ac:dyDescent="0.3">
      <c r="B210" s="504">
        <v>50637</v>
      </c>
      <c r="C210" s="623">
        <f t="shared" si="29"/>
        <v>31</v>
      </c>
      <c r="D210" s="619">
        <f t="shared" si="26"/>
        <v>0</v>
      </c>
      <c r="E210" s="619">
        <f t="shared" si="27"/>
        <v>0</v>
      </c>
      <c r="F210" s="624">
        <f t="shared" si="30"/>
        <v>0</v>
      </c>
      <c r="G210" s="625">
        <f t="shared" si="28"/>
        <v>0</v>
      </c>
      <c r="H210" s="622">
        <f t="shared" si="25"/>
        <v>0</v>
      </c>
      <c r="I210" s="612"/>
      <c r="J210" s="612"/>
      <c r="K210" s="612">
        <f t="shared" si="24"/>
        <v>2038</v>
      </c>
      <c r="L210" s="612">
        <f>L198+1</f>
        <v>2038</v>
      </c>
    </row>
    <row r="211" spans="2:12" x14ac:dyDescent="0.25">
      <c r="B211" s="505">
        <v>50668</v>
      </c>
      <c r="C211" s="623">
        <f t="shared" si="29"/>
        <v>31</v>
      </c>
      <c r="D211" s="619">
        <f t="shared" si="26"/>
        <v>0</v>
      </c>
      <c r="E211" s="619">
        <f t="shared" si="27"/>
        <v>0</v>
      </c>
      <c r="F211" s="624">
        <f t="shared" si="30"/>
        <v>0</v>
      </c>
      <c r="G211" s="625">
        <f t="shared" si="28"/>
        <v>0</v>
      </c>
      <c r="H211" s="622">
        <f t="shared" si="25"/>
        <v>0</v>
      </c>
      <c r="I211" s="612"/>
      <c r="J211" s="612"/>
      <c r="K211" s="612">
        <f t="shared" si="24"/>
        <v>2038</v>
      </c>
      <c r="L211" s="612"/>
    </row>
    <row r="212" spans="2:12" ht="15.75" thickBot="1" x14ac:dyDescent="0.3">
      <c r="B212" s="504">
        <v>50698</v>
      </c>
      <c r="C212" s="623">
        <f t="shared" si="29"/>
        <v>30</v>
      </c>
      <c r="D212" s="619">
        <f t="shared" si="26"/>
        <v>0</v>
      </c>
      <c r="E212" s="619">
        <f t="shared" si="27"/>
        <v>0</v>
      </c>
      <c r="F212" s="624">
        <f t="shared" si="30"/>
        <v>0</v>
      </c>
      <c r="G212" s="625">
        <f t="shared" si="28"/>
        <v>0</v>
      </c>
      <c r="H212" s="622">
        <f t="shared" si="25"/>
        <v>0</v>
      </c>
      <c r="I212" s="612"/>
      <c r="J212" s="612"/>
      <c r="K212" s="612">
        <f t="shared" si="24"/>
        <v>2038</v>
      </c>
      <c r="L212" s="612"/>
    </row>
    <row r="213" spans="2:12" x14ac:dyDescent="0.25">
      <c r="B213" s="505">
        <v>50729</v>
      </c>
      <c r="C213" s="623">
        <f t="shared" si="29"/>
        <v>31</v>
      </c>
      <c r="D213" s="619">
        <f t="shared" si="26"/>
        <v>0</v>
      </c>
      <c r="E213" s="619">
        <f t="shared" si="27"/>
        <v>0</v>
      </c>
      <c r="F213" s="624">
        <f t="shared" si="30"/>
        <v>0</v>
      </c>
      <c r="G213" s="625">
        <f t="shared" si="28"/>
        <v>0</v>
      </c>
      <c r="H213" s="622">
        <f t="shared" si="25"/>
        <v>0</v>
      </c>
      <c r="I213" s="612"/>
      <c r="J213" s="612"/>
      <c r="K213" s="612">
        <f t="shared" si="24"/>
        <v>2038</v>
      </c>
      <c r="L213" s="612"/>
    </row>
    <row r="214" spans="2:12" ht="15.75" thickBot="1" x14ac:dyDescent="0.3">
      <c r="B214" s="504">
        <v>50759</v>
      </c>
      <c r="C214" s="623">
        <f t="shared" si="29"/>
        <v>30</v>
      </c>
      <c r="D214" s="619">
        <f t="shared" si="26"/>
        <v>0</v>
      </c>
      <c r="E214" s="619">
        <f t="shared" si="27"/>
        <v>0</v>
      </c>
      <c r="F214" s="624">
        <f t="shared" si="30"/>
        <v>0</v>
      </c>
      <c r="G214" s="625">
        <f t="shared" si="28"/>
        <v>0</v>
      </c>
      <c r="H214" s="622">
        <f t="shared" si="25"/>
        <v>0</v>
      </c>
      <c r="I214" s="612"/>
      <c r="J214" s="612"/>
      <c r="K214" s="612">
        <f t="shared" si="24"/>
        <v>2038</v>
      </c>
      <c r="L214" s="612"/>
    </row>
    <row r="215" spans="2:12" x14ac:dyDescent="0.25">
      <c r="B215" s="505">
        <v>50790</v>
      </c>
      <c r="C215" s="623">
        <f t="shared" si="29"/>
        <v>31</v>
      </c>
      <c r="D215" s="619">
        <f t="shared" si="26"/>
        <v>0</v>
      </c>
      <c r="E215" s="619">
        <f t="shared" si="27"/>
        <v>0</v>
      </c>
      <c r="F215" s="624">
        <f t="shared" si="30"/>
        <v>0</v>
      </c>
      <c r="G215" s="625">
        <f t="shared" si="28"/>
        <v>0</v>
      </c>
      <c r="H215" s="622">
        <f t="shared" si="25"/>
        <v>0</v>
      </c>
      <c r="I215" s="612"/>
      <c r="J215" s="612"/>
      <c r="K215" s="612">
        <f t="shared" si="24"/>
        <v>2039</v>
      </c>
      <c r="L215" s="612"/>
    </row>
    <row r="216" spans="2:12" ht="15.75" thickBot="1" x14ac:dyDescent="0.3">
      <c r="B216" s="504">
        <v>50821</v>
      </c>
      <c r="C216" s="623">
        <f t="shared" si="29"/>
        <v>31</v>
      </c>
      <c r="D216" s="619">
        <f t="shared" si="26"/>
        <v>0</v>
      </c>
      <c r="E216" s="619">
        <f t="shared" si="27"/>
        <v>0</v>
      </c>
      <c r="F216" s="624">
        <f t="shared" si="30"/>
        <v>0</v>
      </c>
      <c r="G216" s="625">
        <f t="shared" si="28"/>
        <v>0</v>
      </c>
      <c r="H216" s="622">
        <f t="shared" si="25"/>
        <v>0</v>
      </c>
      <c r="I216" s="612"/>
      <c r="J216" s="612"/>
      <c r="K216" s="612">
        <f t="shared" si="24"/>
        <v>2039</v>
      </c>
      <c r="L216" s="612"/>
    </row>
    <row r="217" spans="2:12" x14ac:dyDescent="0.25">
      <c r="B217" s="505">
        <v>50849</v>
      </c>
      <c r="C217" s="623">
        <f t="shared" si="29"/>
        <v>28</v>
      </c>
      <c r="D217" s="619">
        <f t="shared" si="26"/>
        <v>0</v>
      </c>
      <c r="E217" s="619">
        <f t="shared" si="27"/>
        <v>0</v>
      </c>
      <c r="F217" s="624">
        <f t="shared" si="30"/>
        <v>0</v>
      </c>
      <c r="G217" s="625">
        <f t="shared" si="28"/>
        <v>0</v>
      </c>
      <c r="H217" s="622">
        <f t="shared" si="25"/>
        <v>0</v>
      </c>
      <c r="I217" s="612"/>
      <c r="J217" s="612"/>
      <c r="K217" s="612">
        <f t="shared" si="24"/>
        <v>2039</v>
      </c>
      <c r="L217" s="612"/>
    </row>
    <row r="218" spans="2:12" ht="15.75" thickBot="1" x14ac:dyDescent="0.3">
      <c r="B218" s="504">
        <v>50880</v>
      </c>
      <c r="C218" s="623">
        <f t="shared" si="29"/>
        <v>31</v>
      </c>
      <c r="D218" s="619">
        <f t="shared" si="26"/>
        <v>0</v>
      </c>
      <c r="E218" s="619">
        <f t="shared" si="27"/>
        <v>0</v>
      </c>
      <c r="F218" s="624">
        <f t="shared" si="30"/>
        <v>0</v>
      </c>
      <c r="G218" s="625">
        <f t="shared" si="28"/>
        <v>0</v>
      </c>
      <c r="H218" s="622">
        <f t="shared" si="25"/>
        <v>0</v>
      </c>
      <c r="I218" s="612"/>
      <c r="J218" s="612"/>
      <c r="K218" s="612">
        <f t="shared" si="24"/>
        <v>2039</v>
      </c>
      <c r="L218" s="612"/>
    </row>
    <row r="219" spans="2:12" x14ac:dyDescent="0.25">
      <c r="B219" s="505">
        <v>50910</v>
      </c>
      <c r="C219" s="623">
        <f t="shared" si="29"/>
        <v>30</v>
      </c>
      <c r="D219" s="619">
        <f t="shared" si="26"/>
        <v>0</v>
      </c>
      <c r="E219" s="619">
        <f t="shared" si="27"/>
        <v>0</v>
      </c>
      <c r="F219" s="624">
        <f t="shared" si="30"/>
        <v>0</v>
      </c>
      <c r="G219" s="625">
        <f t="shared" si="28"/>
        <v>0</v>
      </c>
      <c r="H219" s="622">
        <f t="shared" si="25"/>
        <v>0</v>
      </c>
      <c r="I219" s="612"/>
      <c r="J219" s="612"/>
      <c r="K219" s="612">
        <f t="shared" si="24"/>
        <v>2039</v>
      </c>
      <c r="L219" s="612"/>
    </row>
    <row r="220" spans="2:12" ht="15.75" thickBot="1" x14ac:dyDescent="0.3">
      <c r="B220" s="504">
        <v>50941</v>
      </c>
      <c r="C220" s="623">
        <f t="shared" si="29"/>
        <v>31</v>
      </c>
      <c r="D220" s="619">
        <f t="shared" si="26"/>
        <v>0</v>
      </c>
      <c r="E220" s="619">
        <f t="shared" si="27"/>
        <v>0</v>
      </c>
      <c r="F220" s="624">
        <f t="shared" si="30"/>
        <v>0</v>
      </c>
      <c r="G220" s="625">
        <f t="shared" si="28"/>
        <v>0</v>
      </c>
      <c r="H220" s="622">
        <f t="shared" si="25"/>
        <v>0</v>
      </c>
      <c r="I220" s="612"/>
      <c r="J220" s="612"/>
      <c r="K220" s="612">
        <f t="shared" si="24"/>
        <v>2039</v>
      </c>
      <c r="L220" s="612"/>
    </row>
    <row r="221" spans="2:12" x14ac:dyDescent="0.25">
      <c r="B221" s="505">
        <v>50971</v>
      </c>
      <c r="C221" s="623">
        <f t="shared" si="29"/>
        <v>30</v>
      </c>
      <c r="D221" s="619">
        <f t="shared" si="26"/>
        <v>0</v>
      </c>
      <c r="E221" s="619">
        <f t="shared" si="27"/>
        <v>0</v>
      </c>
      <c r="F221" s="624">
        <f t="shared" si="30"/>
        <v>0</v>
      </c>
      <c r="G221" s="625">
        <f t="shared" si="28"/>
        <v>0</v>
      </c>
      <c r="H221" s="622">
        <f t="shared" si="25"/>
        <v>0</v>
      </c>
      <c r="I221" s="612"/>
      <c r="J221" s="612"/>
      <c r="K221" s="612">
        <f t="shared" si="24"/>
        <v>2039</v>
      </c>
      <c r="L221" s="612"/>
    </row>
    <row r="222" spans="2:12" ht="15.75" thickBot="1" x14ac:dyDescent="0.3">
      <c r="B222" s="504">
        <v>51002</v>
      </c>
      <c r="C222" s="623">
        <f t="shared" si="29"/>
        <v>31</v>
      </c>
      <c r="D222" s="619">
        <f t="shared" si="26"/>
        <v>0</v>
      </c>
      <c r="E222" s="619">
        <f t="shared" si="27"/>
        <v>0</v>
      </c>
      <c r="F222" s="624">
        <f t="shared" si="30"/>
        <v>0</v>
      </c>
      <c r="G222" s="625">
        <f t="shared" si="28"/>
        <v>0</v>
      </c>
      <c r="H222" s="622">
        <f t="shared" si="25"/>
        <v>0</v>
      </c>
      <c r="I222" s="612"/>
      <c r="J222" s="612"/>
      <c r="K222" s="612">
        <f t="shared" si="24"/>
        <v>2039</v>
      </c>
      <c r="L222" s="612">
        <f>L210+1</f>
        <v>2039</v>
      </c>
    </row>
    <row r="223" spans="2:12" x14ac:dyDescent="0.25">
      <c r="B223" s="505">
        <v>51033</v>
      </c>
      <c r="C223" s="623">
        <f t="shared" si="29"/>
        <v>31</v>
      </c>
      <c r="D223" s="619">
        <f t="shared" si="26"/>
        <v>0</v>
      </c>
      <c r="E223" s="619">
        <f t="shared" si="27"/>
        <v>0</v>
      </c>
      <c r="F223" s="624">
        <f t="shared" si="30"/>
        <v>0</v>
      </c>
      <c r="G223" s="625">
        <f t="shared" si="28"/>
        <v>0</v>
      </c>
      <c r="H223" s="622">
        <f t="shared" si="25"/>
        <v>0</v>
      </c>
      <c r="I223" s="612"/>
      <c r="J223" s="612"/>
      <c r="K223" s="612">
        <f t="shared" si="24"/>
        <v>2039</v>
      </c>
      <c r="L223" s="612"/>
    </row>
    <row r="224" spans="2:12" ht="15.75" thickBot="1" x14ac:dyDescent="0.3">
      <c r="B224" s="504">
        <v>51063</v>
      </c>
      <c r="C224" s="623">
        <f t="shared" si="29"/>
        <v>30</v>
      </c>
      <c r="D224" s="619">
        <f t="shared" si="26"/>
        <v>0</v>
      </c>
      <c r="E224" s="619">
        <f t="shared" si="27"/>
        <v>0</v>
      </c>
      <c r="F224" s="624">
        <f t="shared" si="30"/>
        <v>0</v>
      </c>
      <c r="G224" s="625">
        <f t="shared" si="28"/>
        <v>0</v>
      </c>
      <c r="H224" s="622">
        <f t="shared" si="25"/>
        <v>0</v>
      </c>
      <c r="I224" s="612"/>
      <c r="J224" s="612"/>
      <c r="K224" s="612">
        <f t="shared" si="24"/>
        <v>2039</v>
      </c>
      <c r="L224" s="612"/>
    </row>
    <row r="225" spans="2:12" x14ac:dyDescent="0.25">
      <c r="B225" s="505">
        <v>51094</v>
      </c>
      <c r="C225" s="623">
        <f t="shared" si="29"/>
        <v>31</v>
      </c>
      <c r="D225" s="619">
        <f t="shared" si="26"/>
        <v>0</v>
      </c>
      <c r="E225" s="619">
        <f t="shared" si="27"/>
        <v>0</v>
      </c>
      <c r="F225" s="624">
        <f t="shared" si="30"/>
        <v>0</v>
      </c>
      <c r="G225" s="625">
        <f t="shared" si="28"/>
        <v>0</v>
      </c>
      <c r="H225" s="622">
        <f t="shared" si="25"/>
        <v>0</v>
      </c>
      <c r="I225" s="612"/>
      <c r="J225" s="612"/>
      <c r="K225" s="612">
        <f t="shared" si="24"/>
        <v>2039</v>
      </c>
      <c r="L225" s="612"/>
    </row>
    <row r="226" spans="2:12" ht="15.75" thickBot="1" x14ac:dyDescent="0.3">
      <c r="B226" s="504">
        <v>51124</v>
      </c>
      <c r="C226" s="623">
        <f t="shared" si="29"/>
        <v>30</v>
      </c>
      <c r="D226" s="619">
        <f t="shared" si="26"/>
        <v>0</v>
      </c>
      <c r="E226" s="619">
        <f t="shared" si="27"/>
        <v>0</v>
      </c>
      <c r="F226" s="624">
        <f t="shared" si="30"/>
        <v>0</v>
      </c>
      <c r="G226" s="625">
        <f t="shared" si="28"/>
        <v>0</v>
      </c>
      <c r="H226" s="622">
        <f t="shared" si="25"/>
        <v>0</v>
      </c>
      <c r="I226" s="612"/>
      <c r="J226" s="612"/>
      <c r="K226" s="612">
        <f t="shared" si="24"/>
        <v>2039</v>
      </c>
      <c r="L226" s="612"/>
    </row>
    <row r="227" spans="2:12" x14ac:dyDescent="0.25">
      <c r="B227" s="505">
        <v>51155</v>
      </c>
      <c r="C227" s="623">
        <f t="shared" si="29"/>
        <v>31</v>
      </c>
      <c r="D227" s="619">
        <f t="shared" si="26"/>
        <v>0</v>
      </c>
      <c r="E227" s="619">
        <f t="shared" si="27"/>
        <v>0</v>
      </c>
      <c r="F227" s="624">
        <f t="shared" si="30"/>
        <v>0</v>
      </c>
      <c r="G227" s="625">
        <f t="shared" si="28"/>
        <v>0</v>
      </c>
      <c r="H227" s="622">
        <f t="shared" si="25"/>
        <v>0</v>
      </c>
      <c r="I227" s="612"/>
      <c r="J227" s="612"/>
      <c r="K227" s="612">
        <f t="shared" si="24"/>
        <v>2040</v>
      </c>
      <c r="L227" s="612"/>
    </row>
    <row r="228" spans="2:12" ht="15.75" thickBot="1" x14ac:dyDescent="0.3">
      <c r="B228" s="504">
        <v>51186</v>
      </c>
      <c r="C228" s="623">
        <f t="shared" si="29"/>
        <v>31</v>
      </c>
      <c r="D228" s="619">
        <f t="shared" si="26"/>
        <v>0</v>
      </c>
      <c r="E228" s="619">
        <f t="shared" si="27"/>
        <v>0</v>
      </c>
      <c r="F228" s="624">
        <f t="shared" si="30"/>
        <v>0</v>
      </c>
      <c r="G228" s="625">
        <f t="shared" si="28"/>
        <v>0</v>
      </c>
      <c r="H228" s="622">
        <f t="shared" si="25"/>
        <v>0</v>
      </c>
      <c r="I228" s="612"/>
      <c r="J228" s="612"/>
      <c r="K228" s="612">
        <f t="shared" si="24"/>
        <v>2040</v>
      </c>
      <c r="L228" s="612"/>
    </row>
    <row r="229" spans="2:12" x14ac:dyDescent="0.25">
      <c r="B229" s="505">
        <v>51215</v>
      </c>
      <c r="C229" s="623">
        <f t="shared" si="29"/>
        <v>29</v>
      </c>
      <c r="D229" s="619">
        <f t="shared" si="26"/>
        <v>0</v>
      </c>
      <c r="E229" s="619">
        <f t="shared" si="27"/>
        <v>0</v>
      </c>
      <c r="F229" s="624">
        <f t="shared" si="30"/>
        <v>0</v>
      </c>
      <c r="G229" s="625">
        <f t="shared" si="28"/>
        <v>0</v>
      </c>
      <c r="H229" s="622">
        <f t="shared" si="25"/>
        <v>0</v>
      </c>
      <c r="I229" s="612"/>
      <c r="J229" s="612"/>
      <c r="K229" s="612">
        <f t="shared" ref="K229:K281" si="31">YEAR(B229)</f>
        <v>2040</v>
      </c>
      <c r="L229" s="612"/>
    </row>
    <row r="230" spans="2:12" ht="15.75" thickBot="1" x14ac:dyDescent="0.3">
      <c r="B230" s="504">
        <v>51246</v>
      </c>
      <c r="C230" s="623">
        <f t="shared" si="29"/>
        <v>31</v>
      </c>
      <c r="D230" s="619">
        <f t="shared" si="26"/>
        <v>0</v>
      </c>
      <c r="E230" s="619">
        <f t="shared" si="27"/>
        <v>0</v>
      </c>
      <c r="F230" s="624">
        <f t="shared" si="30"/>
        <v>0</v>
      </c>
      <c r="G230" s="625">
        <f t="shared" si="28"/>
        <v>0</v>
      </c>
      <c r="H230" s="622">
        <f t="shared" si="25"/>
        <v>0</v>
      </c>
      <c r="I230" s="612"/>
      <c r="J230" s="612"/>
      <c r="K230" s="612">
        <f t="shared" si="31"/>
        <v>2040</v>
      </c>
      <c r="L230" s="612"/>
    </row>
    <row r="231" spans="2:12" x14ac:dyDescent="0.25">
      <c r="B231" s="505">
        <v>51276</v>
      </c>
      <c r="C231" s="623">
        <f t="shared" si="29"/>
        <v>30</v>
      </c>
      <c r="D231" s="619">
        <f t="shared" si="26"/>
        <v>0</v>
      </c>
      <c r="E231" s="619">
        <f t="shared" si="27"/>
        <v>0</v>
      </c>
      <c r="F231" s="624">
        <f t="shared" si="30"/>
        <v>0</v>
      </c>
      <c r="G231" s="625">
        <f t="shared" si="28"/>
        <v>0</v>
      </c>
      <c r="H231" s="622">
        <f t="shared" si="25"/>
        <v>0</v>
      </c>
      <c r="I231" s="612"/>
      <c r="J231" s="612"/>
      <c r="K231" s="612">
        <f t="shared" si="31"/>
        <v>2040</v>
      </c>
      <c r="L231" s="612"/>
    </row>
    <row r="232" spans="2:12" ht="15.75" thickBot="1" x14ac:dyDescent="0.3">
      <c r="B232" s="504">
        <v>51307</v>
      </c>
      <c r="C232" s="623">
        <f t="shared" si="29"/>
        <v>31</v>
      </c>
      <c r="D232" s="619">
        <f t="shared" si="26"/>
        <v>0</v>
      </c>
      <c r="E232" s="619">
        <f t="shared" si="27"/>
        <v>0</v>
      </c>
      <c r="F232" s="624">
        <f t="shared" si="30"/>
        <v>0</v>
      </c>
      <c r="G232" s="625">
        <f t="shared" si="28"/>
        <v>0</v>
      </c>
      <c r="H232" s="622">
        <f t="shared" si="25"/>
        <v>0</v>
      </c>
      <c r="I232" s="612"/>
      <c r="J232" s="612"/>
      <c r="K232" s="612">
        <f t="shared" si="31"/>
        <v>2040</v>
      </c>
      <c r="L232" s="612"/>
    </row>
    <row r="233" spans="2:12" x14ac:dyDescent="0.25">
      <c r="B233" s="505">
        <v>51337</v>
      </c>
      <c r="C233" s="623">
        <f t="shared" si="29"/>
        <v>30</v>
      </c>
      <c r="D233" s="619">
        <f t="shared" si="26"/>
        <v>0</v>
      </c>
      <c r="E233" s="619">
        <f t="shared" si="27"/>
        <v>0</v>
      </c>
      <c r="F233" s="624">
        <f t="shared" si="30"/>
        <v>0</v>
      </c>
      <c r="G233" s="625">
        <f t="shared" si="28"/>
        <v>0</v>
      </c>
      <c r="H233" s="622">
        <f t="shared" si="25"/>
        <v>0</v>
      </c>
      <c r="I233" s="612"/>
      <c r="J233" s="612"/>
      <c r="K233" s="612">
        <f t="shared" si="31"/>
        <v>2040</v>
      </c>
      <c r="L233" s="612"/>
    </row>
    <row r="234" spans="2:12" ht="15.75" thickBot="1" x14ac:dyDescent="0.3">
      <c r="B234" s="504">
        <v>51368</v>
      </c>
      <c r="C234" s="623">
        <f t="shared" si="29"/>
        <v>31</v>
      </c>
      <c r="D234" s="619">
        <f t="shared" si="26"/>
        <v>0</v>
      </c>
      <c r="E234" s="619">
        <f t="shared" si="27"/>
        <v>0</v>
      </c>
      <c r="F234" s="624">
        <f t="shared" si="30"/>
        <v>0</v>
      </c>
      <c r="G234" s="625">
        <f t="shared" si="28"/>
        <v>0</v>
      </c>
      <c r="H234" s="622">
        <f t="shared" si="25"/>
        <v>0</v>
      </c>
      <c r="I234" s="612"/>
      <c r="J234" s="612"/>
      <c r="K234" s="612">
        <f t="shared" si="31"/>
        <v>2040</v>
      </c>
      <c r="L234" s="612">
        <f>L222+1</f>
        <v>2040</v>
      </c>
    </row>
    <row r="235" spans="2:12" x14ac:dyDescent="0.25">
      <c r="B235" s="505">
        <v>51399</v>
      </c>
      <c r="C235" s="623">
        <f t="shared" si="29"/>
        <v>31</v>
      </c>
      <c r="D235" s="619">
        <f t="shared" si="26"/>
        <v>0</v>
      </c>
      <c r="E235" s="619">
        <f t="shared" si="27"/>
        <v>0</v>
      </c>
      <c r="F235" s="624">
        <f t="shared" si="30"/>
        <v>0</v>
      </c>
      <c r="G235" s="625">
        <f t="shared" si="28"/>
        <v>0</v>
      </c>
      <c r="H235" s="622">
        <f t="shared" si="25"/>
        <v>0</v>
      </c>
      <c r="I235" s="612"/>
      <c r="J235" s="612"/>
      <c r="K235" s="612">
        <f t="shared" si="31"/>
        <v>2040</v>
      </c>
      <c r="L235" s="612"/>
    </row>
    <row r="236" spans="2:12" ht="15.75" thickBot="1" x14ac:dyDescent="0.3">
      <c r="B236" s="504">
        <v>51429</v>
      </c>
      <c r="C236" s="623">
        <f t="shared" si="29"/>
        <v>30</v>
      </c>
      <c r="D236" s="619">
        <f t="shared" si="26"/>
        <v>0</v>
      </c>
      <c r="E236" s="619">
        <f t="shared" si="27"/>
        <v>0</v>
      </c>
      <c r="F236" s="624">
        <f t="shared" si="30"/>
        <v>0</v>
      </c>
      <c r="G236" s="625">
        <f t="shared" si="28"/>
        <v>0</v>
      </c>
      <c r="H236" s="622">
        <f t="shared" ref="H236:H281" si="32">$H$43</f>
        <v>0</v>
      </c>
      <c r="I236" s="612"/>
      <c r="J236" s="612"/>
      <c r="K236" s="612">
        <f t="shared" si="31"/>
        <v>2040</v>
      </c>
      <c r="L236" s="612"/>
    </row>
    <row r="237" spans="2:12" x14ac:dyDescent="0.25">
      <c r="B237" s="505">
        <v>51460</v>
      </c>
      <c r="C237" s="623">
        <f t="shared" si="29"/>
        <v>31</v>
      </c>
      <c r="D237" s="619">
        <f t="shared" si="26"/>
        <v>0</v>
      </c>
      <c r="E237" s="619">
        <f t="shared" si="27"/>
        <v>0</v>
      </c>
      <c r="F237" s="624">
        <f t="shared" si="30"/>
        <v>0</v>
      </c>
      <c r="G237" s="625">
        <f t="shared" si="28"/>
        <v>0</v>
      </c>
      <c r="H237" s="622">
        <f t="shared" si="32"/>
        <v>0</v>
      </c>
      <c r="I237" s="612"/>
      <c r="J237" s="612"/>
      <c r="K237" s="612">
        <f t="shared" si="31"/>
        <v>2040</v>
      </c>
      <c r="L237" s="612"/>
    </row>
    <row r="238" spans="2:12" ht="15.75" thickBot="1" x14ac:dyDescent="0.3">
      <c r="B238" s="504">
        <v>51490</v>
      </c>
      <c r="C238" s="623">
        <f t="shared" si="29"/>
        <v>30</v>
      </c>
      <c r="D238" s="619">
        <f t="shared" si="26"/>
        <v>0</v>
      </c>
      <c r="E238" s="619">
        <f t="shared" si="27"/>
        <v>0</v>
      </c>
      <c r="F238" s="624">
        <f t="shared" si="30"/>
        <v>0</v>
      </c>
      <c r="G238" s="625">
        <f t="shared" si="28"/>
        <v>0</v>
      </c>
      <c r="H238" s="622">
        <f t="shared" si="32"/>
        <v>0</v>
      </c>
      <c r="I238" s="612"/>
      <c r="J238" s="612"/>
      <c r="K238" s="612">
        <f t="shared" si="31"/>
        <v>2040</v>
      </c>
      <c r="L238" s="612"/>
    </row>
    <row r="239" spans="2:12" x14ac:dyDescent="0.25">
      <c r="B239" s="505">
        <v>51521</v>
      </c>
      <c r="C239" s="623">
        <f t="shared" si="29"/>
        <v>31</v>
      </c>
      <c r="D239" s="619">
        <f t="shared" si="26"/>
        <v>0</v>
      </c>
      <c r="E239" s="619">
        <f t="shared" si="27"/>
        <v>0</v>
      </c>
      <c r="F239" s="624">
        <f t="shared" si="30"/>
        <v>0</v>
      </c>
      <c r="G239" s="625">
        <f t="shared" si="28"/>
        <v>0</v>
      </c>
      <c r="H239" s="622">
        <f t="shared" si="32"/>
        <v>0</v>
      </c>
      <c r="I239" s="612"/>
      <c r="J239" s="612"/>
      <c r="K239" s="612">
        <f t="shared" si="31"/>
        <v>2041</v>
      </c>
      <c r="L239" s="612"/>
    </row>
    <row r="240" spans="2:12" ht="15.75" thickBot="1" x14ac:dyDescent="0.3">
      <c r="B240" s="504">
        <v>51552</v>
      </c>
      <c r="C240" s="623">
        <f t="shared" si="29"/>
        <v>31</v>
      </c>
      <c r="D240" s="619">
        <f t="shared" si="26"/>
        <v>0</v>
      </c>
      <c r="E240" s="619">
        <f t="shared" si="27"/>
        <v>0</v>
      </c>
      <c r="F240" s="624">
        <f t="shared" si="30"/>
        <v>0</v>
      </c>
      <c r="G240" s="625">
        <f t="shared" si="28"/>
        <v>0</v>
      </c>
      <c r="H240" s="622">
        <f t="shared" si="32"/>
        <v>0</v>
      </c>
      <c r="I240" s="612"/>
      <c r="J240" s="612"/>
      <c r="K240" s="612">
        <f t="shared" si="31"/>
        <v>2041</v>
      </c>
      <c r="L240" s="612"/>
    </row>
    <row r="241" spans="2:12" x14ac:dyDescent="0.25">
      <c r="B241" s="505">
        <v>51580</v>
      </c>
      <c r="C241" s="623">
        <f t="shared" si="29"/>
        <v>28</v>
      </c>
      <c r="D241" s="619">
        <f t="shared" ref="D241:D281" si="33">IF(F240&lt;=0.1,0,$F$42/$G$39)</f>
        <v>0</v>
      </c>
      <c r="E241" s="619">
        <f t="shared" si="27"/>
        <v>0</v>
      </c>
      <c r="F241" s="624">
        <f t="shared" si="30"/>
        <v>0</v>
      </c>
      <c r="G241" s="625">
        <f t="shared" si="28"/>
        <v>0</v>
      </c>
      <c r="H241" s="622">
        <f t="shared" si="32"/>
        <v>0</v>
      </c>
      <c r="I241" s="612"/>
      <c r="J241" s="612"/>
      <c r="K241" s="612">
        <f t="shared" si="31"/>
        <v>2041</v>
      </c>
      <c r="L241" s="612"/>
    </row>
    <row r="242" spans="2:12" ht="15.75" thickBot="1" x14ac:dyDescent="0.3">
      <c r="B242" s="504">
        <v>51611</v>
      </c>
      <c r="C242" s="623">
        <f t="shared" si="29"/>
        <v>31</v>
      </c>
      <c r="D242" s="619">
        <f t="shared" si="33"/>
        <v>0</v>
      </c>
      <c r="E242" s="619">
        <f t="shared" si="27"/>
        <v>0</v>
      </c>
      <c r="F242" s="624">
        <f t="shared" si="30"/>
        <v>0</v>
      </c>
      <c r="G242" s="625">
        <f t="shared" si="28"/>
        <v>0</v>
      </c>
      <c r="H242" s="622">
        <f t="shared" si="32"/>
        <v>0</v>
      </c>
      <c r="I242" s="612"/>
      <c r="J242" s="612"/>
      <c r="K242" s="612">
        <f t="shared" si="31"/>
        <v>2041</v>
      </c>
      <c r="L242" s="612"/>
    </row>
    <row r="243" spans="2:12" x14ac:dyDescent="0.25">
      <c r="B243" s="505">
        <v>51641</v>
      </c>
      <c r="C243" s="623">
        <f t="shared" si="29"/>
        <v>30</v>
      </c>
      <c r="D243" s="619">
        <f t="shared" si="33"/>
        <v>0</v>
      </c>
      <c r="E243" s="619">
        <f t="shared" si="27"/>
        <v>0</v>
      </c>
      <c r="F243" s="624">
        <f t="shared" si="30"/>
        <v>0</v>
      </c>
      <c r="G243" s="625">
        <f t="shared" si="28"/>
        <v>0</v>
      </c>
      <c r="H243" s="622">
        <f t="shared" si="32"/>
        <v>0</v>
      </c>
      <c r="I243" s="612"/>
      <c r="J243" s="612"/>
      <c r="K243" s="612">
        <f t="shared" si="31"/>
        <v>2041</v>
      </c>
      <c r="L243" s="612"/>
    </row>
    <row r="244" spans="2:12" ht="15.75" thickBot="1" x14ac:dyDescent="0.3">
      <c r="B244" s="504">
        <v>51672</v>
      </c>
      <c r="C244" s="623">
        <f t="shared" si="29"/>
        <v>31</v>
      </c>
      <c r="D244" s="619">
        <f t="shared" si="33"/>
        <v>0</v>
      </c>
      <c r="E244" s="619">
        <f t="shared" si="27"/>
        <v>0</v>
      </c>
      <c r="F244" s="624">
        <f t="shared" si="30"/>
        <v>0</v>
      </c>
      <c r="G244" s="625">
        <f t="shared" si="28"/>
        <v>0</v>
      </c>
      <c r="H244" s="622">
        <f t="shared" si="32"/>
        <v>0</v>
      </c>
      <c r="I244" s="612"/>
      <c r="J244" s="612"/>
      <c r="K244" s="612">
        <f t="shared" si="31"/>
        <v>2041</v>
      </c>
      <c r="L244" s="612"/>
    </row>
    <row r="245" spans="2:12" x14ac:dyDescent="0.25">
      <c r="B245" s="505">
        <v>51702</v>
      </c>
      <c r="C245" s="623">
        <f t="shared" si="29"/>
        <v>30</v>
      </c>
      <c r="D245" s="619">
        <f t="shared" si="33"/>
        <v>0</v>
      </c>
      <c r="E245" s="619">
        <f t="shared" si="27"/>
        <v>0</v>
      </c>
      <c r="F245" s="624">
        <f t="shared" si="30"/>
        <v>0</v>
      </c>
      <c r="G245" s="625">
        <f t="shared" si="28"/>
        <v>0</v>
      </c>
      <c r="H245" s="622">
        <f t="shared" si="32"/>
        <v>0</v>
      </c>
      <c r="I245" s="612"/>
      <c r="J245" s="612"/>
      <c r="K245" s="612">
        <f t="shared" si="31"/>
        <v>2041</v>
      </c>
      <c r="L245" s="612"/>
    </row>
    <row r="246" spans="2:12" ht="15.75" thickBot="1" x14ac:dyDescent="0.3">
      <c r="B246" s="504">
        <v>51733</v>
      </c>
      <c r="C246" s="623">
        <f t="shared" si="29"/>
        <v>31</v>
      </c>
      <c r="D246" s="619">
        <f t="shared" si="33"/>
        <v>0</v>
      </c>
      <c r="E246" s="619">
        <f t="shared" si="27"/>
        <v>0</v>
      </c>
      <c r="F246" s="624">
        <f t="shared" si="30"/>
        <v>0</v>
      </c>
      <c r="G246" s="625">
        <f t="shared" si="28"/>
        <v>0</v>
      </c>
      <c r="H246" s="622">
        <f t="shared" si="32"/>
        <v>0</v>
      </c>
      <c r="I246" s="612"/>
      <c r="J246" s="612"/>
      <c r="K246" s="612">
        <f t="shared" si="31"/>
        <v>2041</v>
      </c>
      <c r="L246" s="612">
        <f>L234+1</f>
        <v>2041</v>
      </c>
    </row>
    <row r="247" spans="2:12" x14ac:dyDescent="0.25">
      <c r="B247" s="505">
        <v>51764</v>
      </c>
      <c r="C247" s="623">
        <f t="shared" si="29"/>
        <v>31</v>
      </c>
      <c r="D247" s="619">
        <f t="shared" si="33"/>
        <v>0</v>
      </c>
      <c r="E247" s="619">
        <f t="shared" ref="E247:E281" si="34">IF(D247&lt;0.1,0,(F246*C247*H247/36500))</f>
        <v>0</v>
      </c>
      <c r="F247" s="624">
        <f t="shared" si="30"/>
        <v>0</v>
      </c>
      <c r="G247" s="625">
        <f t="shared" si="28"/>
        <v>0</v>
      </c>
      <c r="H247" s="622">
        <f t="shared" si="32"/>
        <v>0</v>
      </c>
      <c r="I247" s="612"/>
      <c r="J247" s="612"/>
      <c r="K247" s="612">
        <f t="shared" si="31"/>
        <v>2041</v>
      </c>
      <c r="L247" s="612"/>
    </row>
    <row r="248" spans="2:12" ht="15.75" thickBot="1" x14ac:dyDescent="0.3">
      <c r="B248" s="504">
        <v>51794</v>
      </c>
      <c r="C248" s="623">
        <f t="shared" si="29"/>
        <v>30</v>
      </c>
      <c r="D248" s="619">
        <f t="shared" si="33"/>
        <v>0</v>
      </c>
      <c r="E248" s="619">
        <f t="shared" si="34"/>
        <v>0</v>
      </c>
      <c r="F248" s="624">
        <f t="shared" si="30"/>
        <v>0</v>
      </c>
      <c r="G248" s="625">
        <f t="shared" si="28"/>
        <v>0</v>
      </c>
      <c r="H248" s="622">
        <f t="shared" si="32"/>
        <v>0</v>
      </c>
      <c r="I248" s="612"/>
      <c r="J248" s="612"/>
      <c r="K248" s="612">
        <f t="shared" si="31"/>
        <v>2041</v>
      </c>
      <c r="L248" s="612"/>
    </row>
    <row r="249" spans="2:12" x14ac:dyDescent="0.25">
      <c r="B249" s="505">
        <v>51825</v>
      </c>
      <c r="C249" s="623">
        <f t="shared" si="29"/>
        <v>31</v>
      </c>
      <c r="D249" s="619">
        <f t="shared" si="33"/>
        <v>0</v>
      </c>
      <c r="E249" s="619">
        <f t="shared" si="34"/>
        <v>0</v>
      </c>
      <c r="F249" s="624">
        <f t="shared" si="30"/>
        <v>0</v>
      </c>
      <c r="G249" s="625">
        <f t="shared" ref="G249:G281" si="35">D249+E249</f>
        <v>0</v>
      </c>
      <c r="H249" s="622">
        <f t="shared" si="32"/>
        <v>0</v>
      </c>
      <c r="I249" s="612"/>
      <c r="J249" s="612"/>
      <c r="K249" s="612">
        <f t="shared" si="31"/>
        <v>2041</v>
      </c>
      <c r="L249" s="612"/>
    </row>
    <row r="250" spans="2:12" ht="15.75" thickBot="1" x14ac:dyDescent="0.3">
      <c r="B250" s="504">
        <v>51855</v>
      </c>
      <c r="C250" s="623">
        <f t="shared" ref="C250:C281" si="36">B250-B249</f>
        <v>30</v>
      </c>
      <c r="D250" s="619">
        <f t="shared" si="33"/>
        <v>0</v>
      </c>
      <c r="E250" s="619">
        <f t="shared" si="34"/>
        <v>0</v>
      </c>
      <c r="F250" s="624">
        <f t="shared" si="30"/>
        <v>0</v>
      </c>
      <c r="G250" s="625">
        <f t="shared" si="35"/>
        <v>0</v>
      </c>
      <c r="H250" s="622">
        <f t="shared" si="32"/>
        <v>0</v>
      </c>
      <c r="I250" s="612"/>
      <c r="J250" s="612"/>
      <c r="K250" s="612">
        <f t="shared" si="31"/>
        <v>2041</v>
      </c>
      <c r="L250" s="612"/>
    </row>
    <row r="251" spans="2:12" x14ac:dyDescent="0.25">
      <c r="B251" s="505">
        <v>51886</v>
      </c>
      <c r="C251" s="623">
        <f t="shared" si="36"/>
        <v>31</v>
      </c>
      <c r="D251" s="619">
        <f t="shared" si="33"/>
        <v>0</v>
      </c>
      <c r="E251" s="619">
        <f t="shared" si="34"/>
        <v>0</v>
      </c>
      <c r="F251" s="624">
        <f t="shared" si="30"/>
        <v>0</v>
      </c>
      <c r="G251" s="625">
        <f t="shared" si="35"/>
        <v>0</v>
      </c>
      <c r="H251" s="622">
        <f t="shared" si="32"/>
        <v>0</v>
      </c>
      <c r="I251" s="612"/>
      <c r="J251" s="612"/>
      <c r="K251" s="612">
        <f t="shared" si="31"/>
        <v>2042</v>
      </c>
      <c r="L251" s="612"/>
    </row>
    <row r="252" spans="2:12" ht="15.75" thickBot="1" x14ac:dyDescent="0.3">
      <c r="B252" s="504">
        <v>51917</v>
      </c>
      <c r="C252" s="623">
        <f t="shared" si="36"/>
        <v>31</v>
      </c>
      <c r="D252" s="619">
        <f t="shared" si="33"/>
        <v>0</v>
      </c>
      <c r="E252" s="619">
        <f t="shared" si="34"/>
        <v>0</v>
      </c>
      <c r="F252" s="624">
        <f t="shared" si="30"/>
        <v>0</v>
      </c>
      <c r="G252" s="625">
        <f t="shared" si="35"/>
        <v>0</v>
      </c>
      <c r="H252" s="622">
        <f t="shared" si="32"/>
        <v>0</v>
      </c>
      <c r="I252" s="612"/>
      <c r="J252" s="612"/>
      <c r="K252" s="612">
        <f t="shared" si="31"/>
        <v>2042</v>
      </c>
      <c r="L252" s="612"/>
    </row>
    <row r="253" spans="2:12" x14ac:dyDescent="0.25">
      <c r="B253" s="505">
        <v>51945</v>
      </c>
      <c r="C253" s="623">
        <f t="shared" si="36"/>
        <v>28</v>
      </c>
      <c r="D253" s="619">
        <f t="shared" si="33"/>
        <v>0</v>
      </c>
      <c r="E253" s="619">
        <f t="shared" si="34"/>
        <v>0</v>
      </c>
      <c r="F253" s="624">
        <f t="shared" si="30"/>
        <v>0</v>
      </c>
      <c r="G253" s="625">
        <f t="shared" si="35"/>
        <v>0</v>
      </c>
      <c r="H253" s="622">
        <f t="shared" si="32"/>
        <v>0</v>
      </c>
      <c r="I253" s="612"/>
      <c r="J253" s="612"/>
      <c r="K253" s="612">
        <f t="shared" si="31"/>
        <v>2042</v>
      </c>
      <c r="L253" s="612"/>
    </row>
    <row r="254" spans="2:12" ht="15.75" thickBot="1" x14ac:dyDescent="0.3">
      <c r="B254" s="504">
        <v>51976</v>
      </c>
      <c r="C254" s="623">
        <f t="shared" si="36"/>
        <v>31</v>
      </c>
      <c r="D254" s="619">
        <f t="shared" si="33"/>
        <v>0</v>
      </c>
      <c r="E254" s="619">
        <f t="shared" si="34"/>
        <v>0</v>
      </c>
      <c r="F254" s="624">
        <f t="shared" si="30"/>
        <v>0</v>
      </c>
      <c r="G254" s="625">
        <f t="shared" si="35"/>
        <v>0</v>
      </c>
      <c r="H254" s="622">
        <f t="shared" si="32"/>
        <v>0</v>
      </c>
      <c r="I254" s="612"/>
      <c r="J254" s="612"/>
      <c r="K254" s="612">
        <f t="shared" si="31"/>
        <v>2042</v>
      </c>
      <c r="L254" s="612"/>
    </row>
    <row r="255" spans="2:12" x14ac:dyDescent="0.25">
      <c r="B255" s="505">
        <v>52006</v>
      </c>
      <c r="C255" s="623">
        <f t="shared" si="36"/>
        <v>30</v>
      </c>
      <c r="D255" s="619">
        <f t="shared" si="33"/>
        <v>0</v>
      </c>
      <c r="E255" s="619">
        <f t="shared" si="34"/>
        <v>0</v>
      </c>
      <c r="F255" s="624">
        <f t="shared" si="30"/>
        <v>0</v>
      </c>
      <c r="G255" s="625">
        <f t="shared" si="35"/>
        <v>0</v>
      </c>
      <c r="H255" s="622">
        <f t="shared" si="32"/>
        <v>0</v>
      </c>
      <c r="I255" s="612"/>
      <c r="J255" s="612"/>
      <c r="K255" s="612">
        <f t="shared" si="31"/>
        <v>2042</v>
      </c>
      <c r="L255" s="612"/>
    </row>
    <row r="256" spans="2:12" ht="15.75" thickBot="1" x14ac:dyDescent="0.3">
      <c r="B256" s="504">
        <v>52037</v>
      </c>
      <c r="C256" s="623">
        <f t="shared" si="36"/>
        <v>31</v>
      </c>
      <c r="D256" s="619">
        <f t="shared" si="33"/>
        <v>0</v>
      </c>
      <c r="E256" s="619">
        <f t="shared" si="34"/>
        <v>0</v>
      </c>
      <c r="F256" s="624">
        <f t="shared" si="30"/>
        <v>0</v>
      </c>
      <c r="G256" s="625">
        <f t="shared" si="35"/>
        <v>0</v>
      </c>
      <c r="H256" s="622">
        <f t="shared" si="32"/>
        <v>0</v>
      </c>
      <c r="I256" s="612"/>
      <c r="J256" s="612"/>
      <c r="K256" s="612">
        <f t="shared" si="31"/>
        <v>2042</v>
      </c>
      <c r="L256" s="612"/>
    </row>
    <row r="257" spans="2:12" x14ac:dyDescent="0.25">
      <c r="B257" s="505">
        <v>52067</v>
      </c>
      <c r="C257" s="623">
        <f t="shared" si="36"/>
        <v>30</v>
      </c>
      <c r="D257" s="619">
        <f t="shared" si="33"/>
        <v>0</v>
      </c>
      <c r="E257" s="619">
        <f t="shared" si="34"/>
        <v>0</v>
      </c>
      <c r="F257" s="624">
        <f t="shared" si="30"/>
        <v>0</v>
      </c>
      <c r="G257" s="625">
        <f t="shared" si="35"/>
        <v>0</v>
      </c>
      <c r="H257" s="622">
        <f t="shared" si="32"/>
        <v>0</v>
      </c>
      <c r="I257" s="612"/>
      <c r="J257" s="612"/>
      <c r="K257" s="612">
        <f t="shared" si="31"/>
        <v>2042</v>
      </c>
      <c r="L257" s="612"/>
    </row>
    <row r="258" spans="2:12" ht="15.75" thickBot="1" x14ac:dyDescent="0.3">
      <c r="B258" s="504">
        <v>52098</v>
      </c>
      <c r="C258" s="623">
        <f t="shared" si="36"/>
        <v>31</v>
      </c>
      <c r="D258" s="619">
        <f t="shared" si="33"/>
        <v>0</v>
      </c>
      <c r="E258" s="619">
        <f t="shared" si="34"/>
        <v>0</v>
      </c>
      <c r="F258" s="624">
        <f t="shared" si="30"/>
        <v>0</v>
      </c>
      <c r="G258" s="625">
        <f t="shared" si="35"/>
        <v>0</v>
      </c>
      <c r="H258" s="622">
        <f t="shared" si="32"/>
        <v>0</v>
      </c>
      <c r="I258" s="612"/>
      <c r="J258" s="612"/>
      <c r="K258" s="612">
        <f t="shared" si="31"/>
        <v>2042</v>
      </c>
      <c r="L258" s="612">
        <f>L246+1</f>
        <v>2042</v>
      </c>
    </row>
    <row r="259" spans="2:12" x14ac:dyDescent="0.25">
      <c r="B259" s="505">
        <v>52129</v>
      </c>
      <c r="C259" s="623">
        <f t="shared" si="36"/>
        <v>31</v>
      </c>
      <c r="D259" s="619">
        <f t="shared" si="33"/>
        <v>0</v>
      </c>
      <c r="E259" s="619">
        <f t="shared" si="34"/>
        <v>0</v>
      </c>
      <c r="F259" s="624">
        <f t="shared" si="30"/>
        <v>0</v>
      </c>
      <c r="G259" s="625">
        <f t="shared" si="35"/>
        <v>0</v>
      </c>
      <c r="H259" s="622">
        <f t="shared" si="32"/>
        <v>0</v>
      </c>
      <c r="I259" s="612"/>
      <c r="J259" s="612"/>
      <c r="K259" s="612">
        <f t="shared" si="31"/>
        <v>2042</v>
      </c>
      <c r="L259" s="612"/>
    </row>
    <row r="260" spans="2:12" ht="15.75" thickBot="1" x14ac:dyDescent="0.3">
      <c r="B260" s="504">
        <v>52159</v>
      </c>
      <c r="C260" s="623">
        <f t="shared" si="36"/>
        <v>30</v>
      </c>
      <c r="D260" s="619">
        <f t="shared" si="33"/>
        <v>0</v>
      </c>
      <c r="E260" s="619">
        <f t="shared" si="34"/>
        <v>0</v>
      </c>
      <c r="F260" s="624">
        <f t="shared" si="30"/>
        <v>0</v>
      </c>
      <c r="G260" s="625">
        <f t="shared" si="35"/>
        <v>0</v>
      </c>
      <c r="H260" s="622">
        <f t="shared" si="32"/>
        <v>0</v>
      </c>
      <c r="I260" s="612"/>
      <c r="J260" s="612"/>
      <c r="K260" s="612">
        <f t="shared" si="31"/>
        <v>2042</v>
      </c>
      <c r="L260" s="612"/>
    </row>
    <row r="261" spans="2:12" x14ac:dyDescent="0.25">
      <c r="B261" s="505">
        <v>52190</v>
      </c>
      <c r="C261" s="623">
        <f t="shared" si="36"/>
        <v>31</v>
      </c>
      <c r="D261" s="619">
        <f t="shared" si="33"/>
        <v>0</v>
      </c>
      <c r="E261" s="619">
        <f t="shared" si="34"/>
        <v>0</v>
      </c>
      <c r="F261" s="624">
        <f t="shared" si="30"/>
        <v>0</v>
      </c>
      <c r="G261" s="625">
        <f t="shared" si="35"/>
        <v>0</v>
      </c>
      <c r="H261" s="622">
        <f t="shared" si="32"/>
        <v>0</v>
      </c>
      <c r="I261" s="612"/>
      <c r="J261" s="612"/>
      <c r="K261" s="612">
        <f t="shared" si="31"/>
        <v>2042</v>
      </c>
      <c r="L261" s="612"/>
    </row>
    <row r="262" spans="2:12" ht="15.75" thickBot="1" x14ac:dyDescent="0.3">
      <c r="B262" s="504">
        <v>52220</v>
      </c>
      <c r="C262" s="623">
        <f t="shared" si="36"/>
        <v>30</v>
      </c>
      <c r="D262" s="619">
        <f t="shared" si="33"/>
        <v>0</v>
      </c>
      <c r="E262" s="619">
        <f t="shared" si="34"/>
        <v>0</v>
      </c>
      <c r="F262" s="624">
        <f t="shared" si="30"/>
        <v>0</v>
      </c>
      <c r="G262" s="625">
        <f t="shared" si="35"/>
        <v>0</v>
      </c>
      <c r="H262" s="622">
        <f t="shared" si="32"/>
        <v>0</v>
      </c>
      <c r="I262" s="612"/>
      <c r="J262" s="612"/>
      <c r="K262" s="612">
        <f t="shared" si="31"/>
        <v>2042</v>
      </c>
      <c r="L262" s="612"/>
    </row>
    <row r="263" spans="2:12" x14ac:dyDescent="0.25">
      <c r="B263" s="505">
        <v>52251</v>
      </c>
      <c r="C263" s="623">
        <f t="shared" si="36"/>
        <v>31</v>
      </c>
      <c r="D263" s="619">
        <f t="shared" si="33"/>
        <v>0</v>
      </c>
      <c r="E263" s="619">
        <f t="shared" si="34"/>
        <v>0</v>
      </c>
      <c r="F263" s="624">
        <f t="shared" si="30"/>
        <v>0</v>
      </c>
      <c r="G263" s="625">
        <f t="shared" si="35"/>
        <v>0</v>
      </c>
      <c r="H263" s="622">
        <f t="shared" si="32"/>
        <v>0</v>
      </c>
      <c r="I263" s="612"/>
      <c r="J263" s="612"/>
      <c r="K263" s="612">
        <f t="shared" si="31"/>
        <v>2043</v>
      </c>
      <c r="L263" s="612"/>
    </row>
    <row r="264" spans="2:12" ht="15.75" thickBot="1" x14ac:dyDescent="0.3">
      <c r="B264" s="504">
        <v>52282</v>
      </c>
      <c r="C264" s="623">
        <f t="shared" si="36"/>
        <v>31</v>
      </c>
      <c r="D264" s="619">
        <f t="shared" si="33"/>
        <v>0</v>
      </c>
      <c r="E264" s="619">
        <f t="shared" si="34"/>
        <v>0</v>
      </c>
      <c r="F264" s="624">
        <f t="shared" si="30"/>
        <v>0</v>
      </c>
      <c r="G264" s="625">
        <f t="shared" si="35"/>
        <v>0</v>
      </c>
      <c r="H264" s="622">
        <f t="shared" si="32"/>
        <v>0</v>
      </c>
      <c r="I264" s="612"/>
      <c r="J264" s="612"/>
      <c r="K264" s="612">
        <f t="shared" si="31"/>
        <v>2043</v>
      </c>
      <c r="L264" s="612"/>
    </row>
    <row r="265" spans="2:12" x14ac:dyDescent="0.25">
      <c r="B265" s="505">
        <v>52310</v>
      </c>
      <c r="C265" s="623">
        <f t="shared" si="36"/>
        <v>28</v>
      </c>
      <c r="D265" s="619">
        <f t="shared" si="33"/>
        <v>0</v>
      </c>
      <c r="E265" s="619">
        <f t="shared" si="34"/>
        <v>0</v>
      </c>
      <c r="F265" s="624">
        <f t="shared" si="30"/>
        <v>0</v>
      </c>
      <c r="G265" s="625">
        <f t="shared" si="35"/>
        <v>0</v>
      </c>
      <c r="H265" s="622">
        <f t="shared" si="32"/>
        <v>0</v>
      </c>
      <c r="I265" s="612"/>
      <c r="J265" s="612"/>
      <c r="K265" s="612">
        <f t="shared" si="31"/>
        <v>2043</v>
      </c>
      <c r="L265" s="612"/>
    </row>
    <row r="266" spans="2:12" ht="15.75" thickBot="1" x14ac:dyDescent="0.3">
      <c r="B266" s="504">
        <v>52341</v>
      </c>
      <c r="C266" s="623">
        <f t="shared" si="36"/>
        <v>31</v>
      </c>
      <c r="D266" s="619">
        <f t="shared" si="33"/>
        <v>0</v>
      </c>
      <c r="E266" s="619">
        <f t="shared" si="34"/>
        <v>0</v>
      </c>
      <c r="F266" s="624">
        <f t="shared" si="30"/>
        <v>0</v>
      </c>
      <c r="G266" s="625">
        <f t="shared" si="35"/>
        <v>0</v>
      </c>
      <c r="H266" s="622">
        <f t="shared" si="32"/>
        <v>0</v>
      </c>
      <c r="I266" s="612"/>
      <c r="J266" s="612"/>
      <c r="K266" s="612">
        <f t="shared" si="31"/>
        <v>2043</v>
      </c>
      <c r="L266" s="612"/>
    </row>
    <row r="267" spans="2:12" x14ac:dyDescent="0.25">
      <c r="B267" s="505">
        <v>52371</v>
      </c>
      <c r="C267" s="623">
        <f t="shared" si="36"/>
        <v>30</v>
      </c>
      <c r="D267" s="619">
        <f t="shared" si="33"/>
        <v>0</v>
      </c>
      <c r="E267" s="619">
        <f t="shared" si="34"/>
        <v>0</v>
      </c>
      <c r="F267" s="624">
        <f t="shared" ref="F267:F281" si="37">F266-D267</f>
        <v>0</v>
      </c>
      <c r="G267" s="625">
        <f t="shared" si="35"/>
        <v>0</v>
      </c>
      <c r="H267" s="622">
        <f t="shared" si="32"/>
        <v>0</v>
      </c>
      <c r="I267" s="612"/>
      <c r="J267" s="612"/>
      <c r="K267" s="612">
        <f t="shared" si="31"/>
        <v>2043</v>
      </c>
      <c r="L267" s="612"/>
    </row>
    <row r="268" spans="2:12" ht="15.75" thickBot="1" x14ac:dyDescent="0.3">
      <c r="B268" s="504">
        <v>52402</v>
      </c>
      <c r="C268" s="623">
        <f t="shared" si="36"/>
        <v>31</v>
      </c>
      <c r="D268" s="619">
        <f t="shared" si="33"/>
        <v>0</v>
      </c>
      <c r="E268" s="619">
        <f t="shared" si="34"/>
        <v>0</v>
      </c>
      <c r="F268" s="624">
        <f t="shared" si="37"/>
        <v>0</v>
      </c>
      <c r="G268" s="625">
        <f t="shared" si="35"/>
        <v>0</v>
      </c>
      <c r="H268" s="622">
        <f t="shared" si="32"/>
        <v>0</v>
      </c>
      <c r="I268" s="612"/>
      <c r="J268" s="612"/>
      <c r="K268" s="612">
        <f t="shared" si="31"/>
        <v>2043</v>
      </c>
      <c r="L268" s="612"/>
    </row>
    <row r="269" spans="2:12" x14ac:dyDescent="0.25">
      <c r="B269" s="505">
        <v>52432</v>
      </c>
      <c r="C269" s="623">
        <f t="shared" si="36"/>
        <v>30</v>
      </c>
      <c r="D269" s="619">
        <f t="shared" si="33"/>
        <v>0</v>
      </c>
      <c r="E269" s="619">
        <f t="shared" si="34"/>
        <v>0</v>
      </c>
      <c r="F269" s="624">
        <f t="shared" si="37"/>
        <v>0</v>
      </c>
      <c r="G269" s="625">
        <f t="shared" si="35"/>
        <v>0</v>
      </c>
      <c r="H269" s="622">
        <f t="shared" si="32"/>
        <v>0</v>
      </c>
      <c r="I269" s="612"/>
      <c r="J269" s="612"/>
      <c r="K269" s="612">
        <f t="shared" si="31"/>
        <v>2043</v>
      </c>
      <c r="L269" s="612"/>
    </row>
    <row r="270" spans="2:12" ht="15.75" thickBot="1" x14ac:dyDescent="0.3">
      <c r="B270" s="504">
        <v>52463</v>
      </c>
      <c r="C270" s="623">
        <f t="shared" si="36"/>
        <v>31</v>
      </c>
      <c r="D270" s="619">
        <f t="shared" si="33"/>
        <v>0</v>
      </c>
      <c r="E270" s="619">
        <f t="shared" si="34"/>
        <v>0</v>
      </c>
      <c r="F270" s="624">
        <f t="shared" si="37"/>
        <v>0</v>
      </c>
      <c r="G270" s="625">
        <f t="shared" si="35"/>
        <v>0</v>
      </c>
      <c r="H270" s="622">
        <f t="shared" si="32"/>
        <v>0</v>
      </c>
      <c r="I270" s="612"/>
      <c r="J270" s="612"/>
      <c r="K270" s="612">
        <f t="shared" si="31"/>
        <v>2043</v>
      </c>
      <c r="L270" s="612">
        <f>L258+1</f>
        <v>2043</v>
      </c>
    </row>
    <row r="271" spans="2:12" x14ac:dyDescent="0.25">
      <c r="B271" s="505">
        <v>52494</v>
      </c>
      <c r="C271" s="623">
        <f t="shared" si="36"/>
        <v>31</v>
      </c>
      <c r="D271" s="619">
        <f t="shared" si="33"/>
        <v>0</v>
      </c>
      <c r="E271" s="619">
        <f t="shared" si="34"/>
        <v>0</v>
      </c>
      <c r="F271" s="624">
        <f t="shared" si="37"/>
        <v>0</v>
      </c>
      <c r="G271" s="625">
        <f t="shared" si="35"/>
        <v>0</v>
      </c>
      <c r="H271" s="622">
        <f t="shared" si="32"/>
        <v>0</v>
      </c>
      <c r="I271" s="612"/>
      <c r="J271" s="612"/>
      <c r="K271" s="612">
        <f t="shared" si="31"/>
        <v>2043</v>
      </c>
      <c r="L271" s="612"/>
    </row>
    <row r="272" spans="2:12" ht="15.75" thickBot="1" x14ac:dyDescent="0.3">
      <c r="B272" s="504">
        <v>52524</v>
      </c>
      <c r="C272" s="623">
        <f t="shared" si="36"/>
        <v>30</v>
      </c>
      <c r="D272" s="619">
        <f t="shared" si="33"/>
        <v>0</v>
      </c>
      <c r="E272" s="619">
        <f t="shared" si="34"/>
        <v>0</v>
      </c>
      <c r="F272" s="624">
        <f t="shared" si="37"/>
        <v>0</v>
      </c>
      <c r="G272" s="625">
        <f t="shared" si="35"/>
        <v>0</v>
      </c>
      <c r="H272" s="622">
        <f t="shared" si="32"/>
        <v>0</v>
      </c>
      <c r="I272" s="612"/>
      <c r="J272" s="612"/>
      <c r="K272" s="612">
        <f t="shared" si="31"/>
        <v>2043</v>
      </c>
      <c r="L272" s="612"/>
    </row>
    <row r="273" spans="2:12" x14ac:dyDescent="0.25">
      <c r="B273" s="505">
        <v>52555</v>
      </c>
      <c r="C273" s="623">
        <f t="shared" si="36"/>
        <v>31</v>
      </c>
      <c r="D273" s="619">
        <f t="shared" si="33"/>
        <v>0</v>
      </c>
      <c r="E273" s="619">
        <f t="shared" si="34"/>
        <v>0</v>
      </c>
      <c r="F273" s="624">
        <f t="shared" si="37"/>
        <v>0</v>
      </c>
      <c r="G273" s="625">
        <f t="shared" si="35"/>
        <v>0</v>
      </c>
      <c r="H273" s="622">
        <f t="shared" si="32"/>
        <v>0</v>
      </c>
      <c r="I273" s="612"/>
      <c r="J273" s="612"/>
      <c r="K273" s="612">
        <f t="shared" si="31"/>
        <v>2043</v>
      </c>
      <c r="L273" s="612"/>
    </row>
    <row r="274" spans="2:12" ht="15.75" thickBot="1" x14ac:dyDescent="0.3">
      <c r="B274" s="504">
        <v>52585</v>
      </c>
      <c r="C274" s="623">
        <f t="shared" si="36"/>
        <v>30</v>
      </c>
      <c r="D274" s="619">
        <f t="shared" si="33"/>
        <v>0</v>
      </c>
      <c r="E274" s="619">
        <f t="shared" si="34"/>
        <v>0</v>
      </c>
      <c r="F274" s="624">
        <f t="shared" si="37"/>
        <v>0</v>
      </c>
      <c r="G274" s="625">
        <f t="shared" si="35"/>
        <v>0</v>
      </c>
      <c r="H274" s="622">
        <f t="shared" si="32"/>
        <v>0</v>
      </c>
      <c r="I274" s="612"/>
      <c r="J274" s="612"/>
      <c r="K274" s="612">
        <f t="shared" si="31"/>
        <v>2043</v>
      </c>
      <c r="L274" s="612"/>
    </row>
    <row r="275" spans="2:12" x14ac:dyDescent="0.25">
      <c r="B275" s="505">
        <v>52616</v>
      </c>
      <c r="C275" s="623">
        <f t="shared" si="36"/>
        <v>31</v>
      </c>
      <c r="D275" s="619">
        <f t="shared" si="33"/>
        <v>0</v>
      </c>
      <c r="E275" s="619">
        <f t="shared" si="34"/>
        <v>0</v>
      </c>
      <c r="F275" s="624">
        <f t="shared" si="37"/>
        <v>0</v>
      </c>
      <c r="G275" s="625">
        <f t="shared" si="35"/>
        <v>0</v>
      </c>
      <c r="H275" s="622">
        <f t="shared" si="32"/>
        <v>0</v>
      </c>
      <c r="I275" s="612"/>
      <c r="J275" s="612"/>
      <c r="K275" s="612">
        <f t="shared" si="31"/>
        <v>2044</v>
      </c>
      <c r="L275" s="612"/>
    </row>
    <row r="276" spans="2:12" ht="15.75" thickBot="1" x14ac:dyDescent="0.3">
      <c r="B276" s="504">
        <v>52647</v>
      </c>
      <c r="C276" s="623">
        <f t="shared" si="36"/>
        <v>31</v>
      </c>
      <c r="D276" s="619">
        <f t="shared" si="33"/>
        <v>0</v>
      </c>
      <c r="E276" s="619">
        <f t="shared" si="34"/>
        <v>0</v>
      </c>
      <c r="F276" s="624">
        <f t="shared" si="37"/>
        <v>0</v>
      </c>
      <c r="G276" s="625">
        <f t="shared" si="35"/>
        <v>0</v>
      </c>
      <c r="H276" s="622">
        <f t="shared" si="32"/>
        <v>0</v>
      </c>
      <c r="I276" s="612"/>
      <c r="J276" s="612"/>
      <c r="K276" s="612">
        <f t="shared" si="31"/>
        <v>2044</v>
      </c>
      <c r="L276" s="612"/>
    </row>
    <row r="277" spans="2:12" x14ac:dyDescent="0.25">
      <c r="B277" s="505">
        <v>52676</v>
      </c>
      <c r="C277" s="623">
        <f t="shared" si="36"/>
        <v>29</v>
      </c>
      <c r="D277" s="619">
        <f t="shared" si="33"/>
        <v>0</v>
      </c>
      <c r="E277" s="619">
        <f t="shared" si="34"/>
        <v>0</v>
      </c>
      <c r="F277" s="624">
        <f t="shared" si="37"/>
        <v>0</v>
      </c>
      <c r="G277" s="625">
        <f t="shared" si="35"/>
        <v>0</v>
      </c>
      <c r="H277" s="622">
        <f t="shared" si="32"/>
        <v>0</v>
      </c>
      <c r="I277" s="612"/>
      <c r="J277" s="612"/>
      <c r="K277" s="612">
        <f t="shared" si="31"/>
        <v>2044</v>
      </c>
      <c r="L277" s="612"/>
    </row>
    <row r="278" spans="2:12" ht="15.75" thickBot="1" x14ac:dyDescent="0.3">
      <c r="B278" s="504">
        <v>52707</v>
      </c>
      <c r="C278" s="623">
        <f t="shared" si="36"/>
        <v>31</v>
      </c>
      <c r="D278" s="619">
        <f t="shared" si="33"/>
        <v>0</v>
      </c>
      <c r="E278" s="619">
        <f t="shared" si="34"/>
        <v>0</v>
      </c>
      <c r="F278" s="624">
        <f t="shared" si="37"/>
        <v>0</v>
      </c>
      <c r="G278" s="625">
        <f t="shared" si="35"/>
        <v>0</v>
      </c>
      <c r="H278" s="622">
        <f t="shared" si="32"/>
        <v>0</v>
      </c>
      <c r="I278" s="612"/>
      <c r="J278" s="612"/>
      <c r="K278" s="612">
        <f t="shared" si="31"/>
        <v>2044</v>
      </c>
      <c r="L278" s="612"/>
    </row>
    <row r="279" spans="2:12" x14ac:dyDescent="0.25">
      <c r="B279" s="505">
        <v>52737</v>
      </c>
      <c r="C279" s="623">
        <f t="shared" si="36"/>
        <v>30</v>
      </c>
      <c r="D279" s="619">
        <f t="shared" si="33"/>
        <v>0</v>
      </c>
      <c r="E279" s="619">
        <f t="shared" si="34"/>
        <v>0</v>
      </c>
      <c r="F279" s="624">
        <f t="shared" si="37"/>
        <v>0</v>
      </c>
      <c r="G279" s="625">
        <f t="shared" si="35"/>
        <v>0</v>
      </c>
      <c r="H279" s="622">
        <f t="shared" si="32"/>
        <v>0</v>
      </c>
      <c r="I279" s="612"/>
      <c r="J279" s="612"/>
      <c r="K279" s="612">
        <f t="shared" si="31"/>
        <v>2044</v>
      </c>
      <c r="L279" s="612"/>
    </row>
    <row r="280" spans="2:12" ht="15.75" thickBot="1" x14ac:dyDescent="0.3">
      <c r="B280" s="504">
        <v>52768</v>
      </c>
      <c r="C280" s="623">
        <f t="shared" si="36"/>
        <v>31</v>
      </c>
      <c r="D280" s="619">
        <f t="shared" si="33"/>
        <v>0</v>
      </c>
      <c r="E280" s="619">
        <f t="shared" si="34"/>
        <v>0</v>
      </c>
      <c r="F280" s="624">
        <f t="shared" si="37"/>
        <v>0</v>
      </c>
      <c r="G280" s="625">
        <f t="shared" si="35"/>
        <v>0</v>
      </c>
      <c r="H280" s="622">
        <f t="shared" si="32"/>
        <v>0</v>
      </c>
      <c r="I280" s="612"/>
      <c r="J280" s="612"/>
      <c r="K280" s="612">
        <f t="shared" si="31"/>
        <v>2044</v>
      </c>
      <c r="L280" s="612"/>
    </row>
    <row r="281" spans="2:12" x14ac:dyDescent="0.25">
      <c r="B281" s="505">
        <v>52798</v>
      </c>
      <c r="C281" s="623">
        <f t="shared" si="36"/>
        <v>30</v>
      </c>
      <c r="D281" s="619">
        <f t="shared" si="33"/>
        <v>0</v>
      </c>
      <c r="E281" s="619">
        <f t="shared" si="34"/>
        <v>0</v>
      </c>
      <c r="F281" s="624">
        <f t="shared" si="37"/>
        <v>0</v>
      </c>
      <c r="G281" s="625">
        <f t="shared" si="35"/>
        <v>0</v>
      </c>
      <c r="H281" s="622">
        <f t="shared" si="32"/>
        <v>0</v>
      </c>
      <c r="I281" s="612"/>
      <c r="J281" s="612"/>
      <c r="K281" s="612">
        <f t="shared" si="31"/>
        <v>2044</v>
      </c>
      <c r="L281" s="612"/>
    </row>
    <row r="282" spans="2:12" x14ac:dyDescent="0.25">
      <c r="B282" s="534"/>
      <c r="C282" s="56"/>
      <c r="D282" s="57"/>
      <c r="E282" s="57"/>
      <c r="F282" s="62"/>
      <c r="G282" s="57"/>
      <c r="H282" s="63"/>
      <c r="I282" s="64"/>
      <c r="L282" s="41">
        <f>L270+1</f>
        <v>2044</v>
      </c>
    </row>
    <row r="283" spans="2:12" x14ac:dyDescent="0.25">
      <c r="B283" s="55"/>
      <c r="C283" s="56"/>
      <c r="D283" s="57">
        <f>SUM(D49:D282)</f>
        <v>0</v>
      </c>
      <c r="E283" s="57">
        <f t="shared" ref="E283:G283" si="38">SUM(E49:E282)</f>
        <v>0</v>
      </c>
      <c r="F283" s="57"/>
      <c r="G283" s="57">
        <f t="shared" si="38"/>
        <v>0</v>
      </c>
      <c r="H283" s="57"/>
      <c r="I283" s="64"/>
    </row>
    <row r="284" spans="2:12" x14ac:dyDescent="0.25">
      <c r="B284" s="55"/>
      <c r="C284" s="56"/>
      <c r="D284" s="57"/>
      <c r="E284" s="57"/>
      <c r="F284" s="62"/>
      <c r="G284" s="57"/>
      <c r="H284" s="63"/>
      <c r="I284" s="64"/>
    </row>
    <row r="285" spans="2:12" x14ac:dyDescent="0.25">
      <c r="B285" s="55"/>
      <c r="C285" s="56"/>
      <c r="D285" s="57"/>
      <c r="E285" s="57"/>
      <c r="F285" s="62"/>
      <c r="G285" s="57"/>
      <c r="H285" s="63"/>
      <c r="I285" s="64"/>
    </row>
    <row r="286" spans="2:12" x14ac:dyDescent="0.25">
      <c r="B286" s="55"/>
      <c r="C286" s="56"/>
      <c r="D286" s="57"/>
      <c r="E286" s="57"/>
      <c r="F286" s="62"/>
      <c r="G286" s="57"/>
      <c r="H286" s="63"/>
      <c r="I286" s="64"/>
    </row>
    <row r="287" spans="2:12" x14ac:dyDescent="0.25">
      <c r="B287" s="55"/>
      <c r="C287" s="56"/>
      <c r="D287" s="57"/>
      <c r="E287" s="57"/>
      <c r="F287" s="62"/>
      <c r="G287" s="57"/>
      <c r="H287" s="63"/>
      <c r="I287" s="64"/>
    </row>
    <row r="288" spans="2:12" x14ac:dyDescent="0.25">
      <c r="B288" s="55"/>
      <c r="C288" s="56"/>
      <c r="D288" s="57"/>
      <c r="E288" s="57"/>
      <c r="F288" s="62"/>
      <c r="G288" s="57"/>
      <c r="H288" s="63"/>
      <c r="I288" s="64"/>
    </row>
    <row r="289" spans="2:9" x14ac:dyDescent="0.25">
      <c r="B289" s="55"/>
      <c r="C289" s="56"/>
      <c r="D289" s="57"/>
      <c r="E289" s="57"/>
      <c r="F289" s="62"/>
      <c r="G289" s="57"/>
      <c r="H289" s="63"/>
      <c r="I289" s="64"/>
    </row>
    <row r="290" spans="2:9" x14ac:dyDescent="0.25">
      <c r="B290" s="55"/>
      <c r="C290" s="56"/>
      <c r="D290" s="57"/>
      <c r="E290" s="57"/>
      <c r="F290" s="62"/>
      <c r="G290" s="57"/>
      <c r="H290" s="63"/>
      <c r="I290" s="64"/>
    </row>
    <row r="291" spans="2:9" x14ac:dyDescent="0.25">
      <c r="B291" s="55"/>
      <c r="C291" s="56"/>
      <c r="D291" s="57"/>
      <c r="E291" s="57"/>
      <c r="F291" s="62"/>
      <c r="G291" s="57"/>
      <c r="H291" s="63"/>
      <c r="I291" s="64"/>
    </row>
    <row r="292" spans="2:9" x14ac:dyDescent="0.25">
      <c r="B292" s="55"/>
      <c r="C292" s="56"/>
      <c r="D292" s="57"/>
      <c r="E292" s="57"/>
      <c r="F292" s="67"/>
      <c r="G292" s="57"/>
      <c r="H292" s="63"/>
      <c r="I292" s="64"/>
    </row>
    <row r="293" spans="2:9" x14ac:dyDescent="0.25">
      <c r="B293" s="55"/>
      <c r="C293" s="56"/>
      <c r="D293" s="57"/>
      <c r="E293" s="57"/>
      <c r="F293" s="62"/>
      <c r="G293" s="57"/>
      <c r="H293" s="63"/>
      <c r="I293" s="64"/>
    </row>
    <row r="294" spans="2:9" x14ac:dyDescent="0.25">
      <c r="B294" s="55"/>
      <c r="C294" s="56"/>
      <c r="D294" s="57"/>
      <c r="E294" s="57"/>
      <c r="F294" s="62"/>
      <c r="G294" s="57"/>
      <c r="H294" s="63"/>
      <c r="I294" s="64"/>
    </row>
    <row r="295" spans="2:9" x14ac:dyDescent="0.25">
      <c r="B295" s="55"/>
      <c r="C295" s="56"/>
      <c r="D295" s="57"/>
      <c r="E295" s="57"/>
      <c r="F295" s="62"/>
      <c r="G295" s="57"/>
      <c r="H295" s="63"/>
      <c r="I295" s="64"/>
    </row>
    <row r="296" spans="2:9" x14ac:dyDescent="0.25">
      <c r="B296" s="55"/>
      <c r="C296" s="56"/>
      <c r="D296" s="57"/>
      <c r="E296" s="57"/>
      <c r="F296" s="62"/>
      <c r="G296" s="57"/>
      <c r="H296" s="63"/>
      <c r="I296" s="64"/>
    </row>
    <row r="297" spans="2:9" x14ac:dyDescent="0.25">
      <c r="B297" s="55"/>
      <c r="C297" s="56"/>
      <c r="D297" s="57"/>
      <c r="E297" s="57"/>
      <c r="F297" s="62"/>
      <c r="G297" s="57"/>
      <c r="H297" s="63"/>
      <c r="I297" s="64"/>
    </row>
    <row r="298" spans="2:9" x14ac:dyDescent="0.25">
      <c r="B298" s="55"/>
      <c r="C298" s="56"/>
      <c r="D298" s="57"/>
      <c r="E298" s="57"/>
      <c r="F298" s="62"/>
      <c r="G298" s="57"/>
      <c r="H298" s="63"/>
      <c r="I298" s="64"/>
    </row>
    <row r="299" spans="2:9" x14ac:dyDescent="0.25">
      <c r="B299" s="55"/>
      <c r="C299" s="56"/>
      <c r="D299" s="57"/>
      <c r="E299" s="57"/>
      <c r="F299" s="62"/>
      <c r="G299" s="57"/>
      <c r="H299" s="63"/>
      <c r="I299" s="64"/>
    </row>
    <row r="300" spans="2:9" x14ac:dyDescent="0.25">
      <c r="B300" s="55"/>
      <c r="C300" s="56"/>
      <c r="D300" s="57"/>
      <c r="E300" s="57"/>
      <c r="F300" s="62"/>
      <c r="G300" s="57"/>
      <c r="H300" s="63"/>
      <c r="I300" s="64"/>
    </row>
    <row r="301" spans="2:9" x14ac:dyDescent="0.25">
      <c r="B301" s="55"/>
      <c r="C301" s="56"/>
      <c r="D301" s="57"/>
      <c r="E301" s="57"/>
      <c r="F301" s="62"/>
      <c r="G301" s="57"/>
      <c r="H301" s="63"/>
      <c r="I301" s="64"/>
    </row>
    <row r="302" spans="2:9" x14ac:dyDescent="0.25">
      <c r="B302" s="55"/>
      <c r="C302" s="56"/>
      <c r="D302" s="57"/>
      <c r="E302" s="57"/>
      <c r="F302" s="62"/>
      <c r="G302" s="57"/>
      <c r="H302" s="63"/>
      <c r="I302" s="64"/>
    </row>
    <row r="303" spans="2:9" x14ac:dyDescent="0.25">
      <c r="B303" s="55"/>
      <c r="C303" s="56"/>
      <c r="D303" s="57"/>
      <c r="E303" s="57"/>
      <c r="F303" s="62"/>
      <c r="G303" s="57"/>
      <c r="H303" s="63"/>
      <c r="I303" s="64"/>
    </row>
    <row r="304" spans="2:9" x14ac:dyDescent="0.25">
      <c r="B304" s="55"/>
      <c r="C304" s="56"/>
      <c r="D304" s="57"/>
      <c r="E304" s="57"/>
      <c r="F304" s="62"/>
      <c r="G304" s="57"/>
      <c r="H304" s="63"/>
      <c r="I304" s="64"/>
    </row>
    <row r="305" spans="2:9" x14ac:dyDescent="0.25">
      <c r="B305" s="55"/>
      <c r="C305" s="56"/>
      <c r="D305" s="57"/>
      <c r="E305" s="57"/>
      <c r="F305" s="62"/>
      <c r="G305" s="57"/>
      <c r="H305" s="63"/>
      <c r="I305" s="64"/>
    </row>
    <row r="306" spans="2:9" x14ac:dyDescent="0.25">
      <c r="B306" s="55"/>
      <c r="C306" s="56"/>
      <c r="D306" s="57"/>
      <c r="E306" s="57"/>
      <c r="F306" s="62"/>
      <c r="G306" s="57"/>
      <c r="H306" s="63"/>
      <c r="I306" s="64"/>
    </row>
    <row r="307" spans="2:9" x14ac:dyDescent="0.25">
      <c r="B307" s="55"/>
      <c r="C307" s="56"/>
      <c r="D307" s="57"/>
      <c r="E307" s="57"/>
      <c r="F307" s="62"/>
      <c r="G307" s="57"/>
      <c r="H307" s="63"/>
      <c r="I307" s="64"/>
    </row>
    <row r="308" spans="2:9" x14ac:dyDescent="0.25">
      <c r="B308" s="55"/>
      <c r="C308" s="56"/>
      <c r="D308" s="57"/>
      <c r="E308" s="57"/>
      <c r="F308" s="62"/>
      <c r="G308" s="57"/>
      <c r="H308" s="63"/>
      <c r="I308" s="64"/>
    </row>
    <row r="309" spans="2:9" x14ac:dyDescent="0.25">
      <c r="B309" s="55"/>
      <c r="C309" s="56"/>
      <c r="D309" s="57"/>
      <c r="E309" s="57"/>
      <c r="F309" s="62"/>
      <c r="G309" s="57"/>
      <c r="H309" s="63"/>
      <c r="I309" s="64"/>
    </row>
    <row r="310" spans="2:9" x14ac:dyDescent="0.25">
      <c r="B310" s="55"/>
      <c r="C310" s="56"/>
      <c r="D310" s="57"/>
      <c r="E310" s="57"/>
      <c r="F310" s="62"/>
      <c r="G310" s="57"/>
      <c r="H310" s="63"/>
      <c r="I310" s="64"/>
    </row>
    <row r="311" spans="2:9" x14ac:dyDescent="0.25">
      <c r="B311" s="55"/>
      <c r="C311" s="56"/>
      <c r="D311" s="57"/>
      <c r="E311" s="57"/>
      <c r="F311" s="62"/>
      <c r="G311" s="57"/>
      <c r="H311" s="63"/>
      <c r="I311" s="64"/>
    </row>
    <row r="312" spans="2:9" x14ac:dyDescent="0.25">
      <c r="F312" s="62"/>
      <c r="G312" s="57"/>
      <c r="H312" s="63"/>
      <c r="I312" s="64"/>
    </row>
    <row r="313" spans="2:9" x14ac:dyDescent="0.25">
      <c r="B313" s="55"/>
      <c r="C313" s="56"/>
      <c r="D313" s="57"/>
      <c r="E313" s="57"/>
      <c r="F313" s="62"/>
      <c r="G313" s="57"/>
      <c r="H313" s="63"/>
      <c r="I313" s="64"/>
    </row>
    <row r="314" spans="2:9" x14ac:dyDescent="0.25">
      <c r="B314" s="55"/>
      <c r="C314" s="56"/>
      <c r="D314" s="57"/>
      <c r="E314" s="57"/>
      <c r="F314" s="62"/>
      <c r="G314" s="57"/>
      <c r="H314" s="63"/>
      <c r="I314" s="64"/>
    </row>
    <row r="315" spans="2:9" x14ac:dyDescent="0.25">
      <c r="B315" s="55"/>
      <c r="C315" s="56"/>
      <c r="D315" s="57"/>
      <c r="E315" s="57"/>
      <c r="F315" s="62"/>
      <c r="G315" s="57"/>
      <c r="H315" s="63"/>
      <c r="I315" s="64"/>
    </row>
    <row r="316" spans="2:9" x14ac:dyDescent="0.25">
      <c r="B316" s="55"/>
      <c r="C316" s="56"/>
      <c r="D316" s="57"/>
      <c r="E316" s="57"/>
      <c r="F316" s="62"/>
      <c r="G316" s="57"/>
      <c r="H316" s="63"/>
      <c r="I316" s="64"/>
    </row>
    <row r="317" spans="2:9" x14ac:dyDescent="0.25">
      <c r="B317" s="55"/>
      <c r="C317" s="55"/>
      <c r="D317" s="65"/>
      <c r="E317" s="65"/>
      <c r="F317" s="62"/>
      <c r="G317" s="65"/>
      <c r="H317" s="114"/>
      <c r="I317" s="64"/>
    </row>
    <row r="318" spans="2:9" x14ac:dyDescent="0.25">
      <c r="B318" s="55"/>
      <c r="C318" s="55"/>
      <c r="D318" s="66"/>
      <c r="E318" s="66"/>
      <c r="F318" s="66"/>
      <c r="G318" s="64"/>
      <c r="H318" s="64"/>
      <c r="I318" s="64"/>
    </row>
    <row r="319" spans="2:9" x14ac:dyDescent="0.25">
      <c r="B319" s="55"/>
      <c r="C319" s="55"/>
      <c r="D319" s="66"/>
      <c r="E319" s="66"/>
      <c r="F319" s="66"/>
      <c r="G319" s="64"/>
      <c r="H319" s="64"/>
      <c r="I319" s="64"/>
    </row>
    <row r="320" spans="2:9" x14ac:dyDescent="0.25">
      <c r="B320" s="55"/>
      <c r="C320" s="55"/>
      <c r="D320" s="66"/>
      <c r="E320" s="66"/>
      <c r="F320" s="66"/>
      <c r="G320" s="64"/>
      <c r="H320" s="64"/>
      <c r="I320" s="64"/>
    </row>
    <row r="321" spans="2:9" x14ac:dyDescent="0.25">
      <c r="B321" s="55"/>
      <c r="C321" s="55"/>
      <c r="D321" s="66"/>
      <c r="E321" s="66"/>
      <c r="F321" s="66"/>
      <c r="G321" s="64"/>
      <c r="H321" s="64"/>
      <c r="I321" s="64"/>
    </row>
  </sheetData>
  <sheetProtection sheet="1" objects="1" scenarios="1"/>
  <mergeCells count="2">
    <mergeCell ref="B3:E3"/>
    <mergeCell ref="D38:E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5"/>
  <sheetViews>
    <sheetView topLeftCell="B5" zoomScale="85" zoomScaleNormal="85" workbookViewId="0">
      <selection activeCell="V25" sqref="V25"/>
    </sheetView>
  </sheetViews>
  <sheetFormatPr defaultRowHeight="15" x14ac:dyDescent="0.25"/>
  <cols>
    <col min="1" max="1" width="0" hidden="1" customWidth="1"/>
    <col min="2" max="2" width="65.42578125" customWidth="1"/>
    <col min="5" max="5" width="8" customWidth="1"/>
    <col min="6" max="18" width="0" hidden="1" customWidth="1"/>
    <col min="19" max="19" width="8.5703125" customWidth="1"/>
    <col min="20" max="20" width="8.140625" customWidth="1"/>
  </cols>
  <sheetData>
    <row r="1" spans="1:21" hidden="1" x14ac:dyDescent="0.25">
      <c r="A1" s="415" t="str">
        <f>RZiS!A2</f>
        <v>Rachunek zysków i strat</v>
      </c>
      <c r="B1" s="415">
        <f>RZiS!B2</f>
        <v>0</v>
      </c>
      <c r="C1" s="415">
        <f>RZiS!C2</f>
        <v>0</v>
      </c>
      <c r="D1" s="415">
        <f>RZiS!D2</f>
        <v>0</v>
      </c>
      <c r="E1" s="415" t="e">
        <f>RZiS!#REF!</f>
        <v>#REF!</v>
      </c>
      <c r="F1" s="415">
        <f>RZiS!F2</f>
        <v>0</v>
      </c>
      <c r="G1" s="415">
        <f>RZiS!G2</f>
        <v>0</v>
      </c>
      <c r="H1" s="415">
        <f>RZiS!H2</f>
        <v>0</v>
      </c>
      <c r="I1" s="415">
        <f>RZiS!I2</f>
        <v>0</v>
      </c>
      <c r="J1" s="415">
        <f>RZiS!J2</f>
        <v>0</v>
      </c>
      <c r="K1" s="415">
        <f>RZiS!K2</f>
        <v>0</v>
      </c>
      <c r="L1" s="415">
        <f>RZiS!L2</f>
        <v>0</v>
      </c>
      <c r="M1" s="415">
        <f>RZiS!M2</f>
        <v>0</v>
      </c>
      <c r="N1" s="415">
        <f>RZiS!E2</f>
        <v>0.09</v>
      </c>
      <c r="O1" s="415">
        <f>RZiS!O2</f>
        <v>0</v>
      </c>
      <c r="P1" s="415">
        <f>RZiS!P2</f>
        <v>0</v>
      </c>
      <c r="Q1" s="415">
        <f>RZiS!Q2</f>
        <v>0</v>
      </c>
      <c r="R1" s="415">
        <f>RZiS!R2</f>
        <v>0</v>
      </c>
      <c r="S1" s="415" t="str">
        <f>RZiS!S2</f>
        <v>ilość miesięcy</v>
      </c>
      <c r="T1" s="415">
        <f>RZiS!T2</f>
        <v>0</v>
      </c>
      <c r="U1" s="415"/>
    </row>
    <row r="2" spans="1:21" hidden="1" x14ac:dyDescent="0.25">
      <c r="A2" s="415" t="str">
        <f>RZiS!A3</f>
        <v xml:space="preserve"> - wariant porównawczy -</v>
      </c>
      <c r="B2" s="415">
        <f>RZiS!B3</f>
        <v>0</v>
      </c>
      <c r="C2" s="415">
        <f>RZiS!C3</f>
        <v>0</v>
      </c>
      <c r="D2" s="415">
        <f>RZiS!D3</f>
        <v>0</v>
      </c>
      <c r="E2" s="415">
        <f>RZiS!E3</f>
        <v>0</v>
      </c>
      <c r="F2" s="415">
        <f>RZiS!F3</f>
        <v>0</v>
      </c>
      <c r="G2" s="415">
        <f>RZiS!G3</f>
        <v>0</v>
      </c>
      <c r="H2" s="415">
        <f>RZiS!H3</f>
        <v>0</v>
      </c>
      <c r="I2" s="415">
        <f>RZiS!I3</f>
        <v>0</v>
      </c>
      <c r="J2" s="415">
        <f>RZiS!J3</f>
        <v>0</v>
      </c>
      <c r="K2" s="415">
        <f>RZiS!K3</f>
        <v>0</v>
      </c>
      <c r="L2" s="415">
        <f>RZiS!L3</f>
        <v>0</v>
      </c>
      <c r="M2" s="415">
        <f>RZiS!M3</f>
        <v>0</v>
      </c>
      <c r="N2" s="415">
        <f>RZiS!N3</f>
        <v>0</v>
      </c>
      <c r="O2" s="415">
        <f>RZiS!O3</f>
        <v>0</v>
      </c>
      <c r="P2" s="415">
        <f>RZiS!P3</f>
        <v>0</v>
      </c>
      <c r="Q2" s="415">
        <f>RZiS!Q3</f>
        <v>0</v>
      </c>
      <c r="R2" s="415">
        <f>RZiS!R3</f>
        <v>0</v>
      </c>
      <c r="S2" s="415">
        <f>RZiS!S3</f>
        <v>0</v>
      </c>
      <c r="T2" s="415">
        <f>RZiS!T3</f>
        <v>2023</v>
      </c>
      <c r="U2" s="415"/>
    </row>
    <row r="3" spans="1:21" hidden="1" x14ac:dyDescent="0.25">
      <c r="A3" s="415">
        <f>RZiS!A4</f>
        <v>0</v>
      </c>
      <c r="B3" s="415">
        <f>RZiS!B4</f>
        <v>0</v>
      </c>
      <c r="C3" s="415">
        <f>RZiS!C4</f>
        <v>0</v>
      </c>
      <c r="D3" s="415">
        <f>RZiS!D4</f>
        <v>0</v>
      </c>
      <c r="E3" s="415">
        <f>RZiS!E4</f>
        <v>0</v>
      </c>
      <c r="F3" s="415">
        <f>RZiS!F4</f>
        <v>0</v>
      </c>
      <c r="G3" s="415">
        <f>RZiS!G4</f>
        <v>0</v>
      </c>
      <c r="H3" s="415">
        <f>RZiS!H4</f>
        <v>0</v>
      </c>
      <c r="I3" s="415">
        <f>RZiS!I4</f>
        <v>0</v>
      </c>
      <c r="J3" s="415">
        <f>RZiS!J4</f>
        <v>0</v>
      </c>
      <c r="K3" s="415">
        <f>RZiS!K4</f>
        <v>0</v>
      </c>
      <c r="L3" s="415">
        <f>RZiS!L4</f>
        <v>0</v>
      </c>
      <c r="M3" s="415">
        <f>RZiS!M4</f>
        <v>0</v>
      </c>
      <c r="N3" s="415">
        <f>RZiS!N4</f>
        <v>0</v>
      </c>
      <c r="O3" s="415">
        <f>RZiS!O4</f>
        <v>0</v>
      </c>
      <c r="P3" s="415">
        <f>RZiS!P4</f>
        <v>0</v>
      </c>
      <c r="Q3" s="415">
        <f>RZiS!Q4</f>
        <v>0</v>
      </c>
      <c r="R3" s="415">
        <f>RZiS!R4</f>
        <v>0</v>
      </c>
      <c r="S3" s="415">
        <f>RZiS!S4</f>
        <v>0</v>
      </c>
      <c r="T3" s="415">
        <f>RZiS!T4</f>
        <v>0</v>
      </c>
      <c r="U3" s="415"/>
    </row>
    <row r="4" spans="1:21" hidden="1" x14ac:dyDescent="0.25">
      <c r="A4" s="415">
        <f>RZiS!A5</f>
        <v>0</v>
      </c>
      <c r="B4" s="415">
        <f>RZiS!B5</f>
        <v>0</v>
      </c>
      <c r="C4" s="415">
        <f>RZiS!C5</f>
        <v>0</v>
      </c>
      <c r="D4" s="415">
        <f>RZiS!D5</f>
        <v>0</v>
      </c>
      <c r="E4" s="415">
        <f>RZiS!E5</f>
        <v>0</v>
      </c>
      <c r="F4" s="415">
        <f>RZiS!F5</f>
        <v>0</v>
      </c>
      <c r="G4" s="415">
        <f>RZiS!G5</f>
        <v>0</v>
      </c>
      <c r="H4" s="415">
        <f>RZiS!H5</f>
        <v>0</v>
      </c>
      <c r="I4" s="415">
        <f>RZiS!I5</f>
        <v>0</v>
      </c>
      <c r="J4" s="415">
        <f>RZiS!J5</f>
        <v>0</v>
      </c>
      <c r="K4" s="415">
        <f>RZiS!K5</f>
        <v>0</v>
      </c>
      <c r="L4" s="415">
        <f>RZiS!L5</f>
        <v>0</v>
      </c>
      <c r="M4" s="415">
        <f>RZiS!M5</f>
        <v>0</v>
      </c>
      <c r="N4" s="415">
        <f>RZiS!N5</f>
        <v>0</v>
      </c>
      <c r="O4" s="415">
        <f>RZiS!O5</f>
        <v>0</v>
      </c>
      <c r="P4" s="415">
        <f>RZiS!P5</f>
        <v>0</v>
      </c>
      <c r="Q4" s="415">
        <f>RZiS!Q5</f>
        <v>0</v>
      </c>
      <c r="R4" s="415">
        <f>RZiS!R5</f>
        <v>0</v>
      </c>
      <c r="S4" s="415">
        <f>RZiS!S5</f>
        <v>0</v>
      </c>
      <c r="T4" s="415">
        <f>RZiS!T5</f>
        <v>0</v>
      </c>
      <c r="U4" s="415"/>
    </row>
    <row r="5" spans="1:21" x14ac:dyDescent="0.25">
      <c r="A5" s="415">
        <f>RZiS!A6</f>
        <v>0</v>
      </c>
      <c r="B5" s="418">
        <f>RZiS!B6</f>
        <v>0</v>
      </c>
      <c r="C5" s="419">
        <f>RZiS!C6</f>
        <v>2022</v>
      </c>
      <c r="D5" s="419">
        <f>RZiS!D6</f>
        <v>2023</v>
      </c>
      <c r="E5" s="419" t="s">
        <v>366</v>
      </c>
      <c r="F5" s="419">
        <f>RZiS!F6</f>
        <v>2024</v>
      </c>
      <c r="G5" s="419">
        <f>RZiS!G6</f>
        <v>2025</v>
      </c>
      <c r="H5" s="419">
        <f>RZiS!H6</f>
        <v>2026</v>
      </c>
      <c r="I5" s="419">
        <f>RZiS!I6</f>
        <v>0</v>
      </c>
      <c r="J5" s="419">
        <f>RZiS!J6</f>
        <v>0</v>
      </c>
      <c r="K5" s="419" t="str">
        <f>RZiS!K6</f>
        <v>wpisz rok</v>
      </c>
      <c r="L5" s="419">
        <f>RZiS!L6</f>
        <v>0</v>
      </c>
      <c r="M5" s="419">
        <f>RZiS!M6</f>
        <v>0</v>
      </c>
      <c r="N5" s="419">
        <f>RZiS!N6</f>
        <v>0</v>
      </c>
      <c r="O5" s="419">
        <f>RZiS!O6</f>
        <v>0</v>
      </c>
      <c r="P5" s="419">
        <f>RZiS!P6</f>
        <v>0</v>
      </c>
      <c r="Q5" s="419" t="str">
        <f>RZiS!Q6</f>
        <v>za ostatni kwartał</v>
      </c>
      <c r="R5" s="419">
        <f>RZiS!R6</f>
        <v>0</v>
      </c>
      <c r="S5" s="419" t="s">
        <v>367</v>
      </c>
      <c r="T5" s="420" t="s">
        <v>368</v>
      </c>
      <c r="U5" s="415"/>
    </row>
    <row r="6" spans="1:21" x14ac:dyDescent="0.25">
      <c r="A6" s="415" t="str">
        <f>RZiS!A7</f>
        <v>A.</v>
      </c>
      <c r="B6" s="421" t="str">
        <f>RZiS!B7</f>
        <v>Przychody netto ze sprzedaży produktów, towarów i materiałów, w tym:</v>
      </c>
      <c r="C6" s="417">
        <f>RZiS!C7</f>
        <v>0</v>
      </c>
      <c r="D6" s="417">
        <f>RZiS!D7</f>
        <v>0</v>
      </c>
      <c r="E6" s="417" t="e">
        <f>RZiS!E7</f>
        <v>#DIV/0!</v>
      </c>
      <c r="F6" s="417">
        <f>RZiS!F7</f>
        <v>0</v>
      </c>
      <c r="G6" s="417">
        <f>RZiS!G7</f>
        <v>0</v>
      </c>
      <c r="H6" s="417">
        <f>RZiS!H7</f>
        <v>0</v>
      </c>
      <c r="I6" s="417">
        <f>RZiS!I7</f>
        <v>0</v>
      </c>
      <c r="J6" s="417">
        <f>RZiS!J7</f>
        <v>0</v>
      </c>
      <c r="K6" s="417">
        <f>RZiS!K7</f>
        <v>0</v>
      </c>
      <c r="L6" s="417">
        <f>RZiS!L7</f>
        <v>0</v>
      </c>
      <c r="M6" s="417">
        <f>RZiS!M7</f>
        <v>0</v>
      </c>
      <c r="N6" s="417">
        <f>RZiS!N7</f>
        <v>0</v>
      </c>
      <c r="O6" s="417">
        <f>RZiS!O7</f>
        <v>0</v>
      </c>
      <c r="P6" s="417">
        <f>RZiS!P7</f>
        <v>0</v>
      </c>
      <c r="Q6" s="417">
        <f>RZiS!Q7</f>
        <v>0</v>
      </c>
      <c r="R6" s="417">
        <f>RZiS!R7</f>
        <v>0</v>
      </c>
      <c r="S6" s="417" t="e">
        <f>RZiS!S7</f>
        <v>#DIV/0!</v>
      </c>
      <c r="T6" s="422" t="e">
        <f>RZiS!T7</f>
        <v>#DIV/0!</v>
      </c>
      <c r="U6" s="415"/>
    </row>
    <row r="7" spans="1:21" hidden="1" x14ac:dyDescent="0.25">
      <c r="A7" s="415">
        <f>RZiS!A8</f>
        <v>0</v>
      </c>
      <c r="B7" s="423" t="str">
        <f>RZiS!B8</f>
        <v xml:space="preserve"> - od jednostek powiązanych</v>
      </c>
      <c r="C7" s="416">
        <f>RZiS!C8</f>
        <v>0</v>
      </c>
      <c r="D7" s="416">
        <f>RZiS!D8</f>
        <v>0</v>
      </c>
      <c r="E7" s="416" t="e">
        <f>RZiS!E8</f>
        <v>#DIV/0!</v>
      </c>
      <c r="F7" s="416">
        <f>RZiS!F8</f>
        <v>0</v>
      </c>
      <c r="G7" s="416">
        <f>RZiS!G8</f>
        <v>0</v>
      </c>
      <c r="H7" s="416">
        <f>RZiS!H8</f>
        <v>0</v>
      </c>
      <c r="I7" s="416">
        <f>RZiS!I8</f>
        <v>0</v>
      </c>
      <c r="J7" s="416">
        <f>RZiS!J8</f>
        <v>0</v>
      </c>
      <c r="K7" s="416">
        <f>RZiS!K8</f>
        <v>0</v>
      </c>
      <c r="L7" s="416">
        <f>RZiS!L8</f>
        <v>0</v>
      </c>
      <c r="M7" s="416">
        <f>RZiS!M8</f>
        <v>0</v>
      </c>
      <c r="N7" s="416">
        <f>RZiS!N8</f>
        <v>0</v>
      </c>
      <c r="O7" s="416">
        <f>RZiS!O8</f>
        <v>0</v>
      </c>
      <c r="P7" s="416">
        <f>RZiS!P8</f>
        <v>0</v>
      </c>
      <c r="Q7" s="416">
        <f>RZiS!Q8</f>
        <v>0</v>
      </c>
      <c r="R7" s="416">
        <f>RZiS!R8</f>
        <v>0</v>
      </c>
      <c r="S7" s="416" t="e">
        <f>RZiS!S8</f>
        <v>#DIV/0!</v>
      </c>
      <c r="T7" s="424" t="e">
        <f>RZiS!T8</f>
        <v>#DIV/0!</v>
      </c>
      <c r="U7" s="415"/>
    </row>
    <row r="8" spans="1:21" x14ac:dyDescent="0.25">
      <c r="A8" s="415" t="str">
        <f>RZiS!A9</f>
        <v>I.</v>
      </c>
      <c r="B8" s="428" t="str">
        <f>RZiS!B9</f>
        <v>Przychody ze sprzedaży produktów i usług</v>
      </c>
      <c r="C8" s="429">
        <f>RZiS!C9</f>
        <v>0</v>
      </c>
      <c r="D8" s="429">
        <f>RZiS!D9</f>
        <v>0</v>
      </c>
      <c r="E8" s="429" t="e">
        <f>RZiS!E9</f>
        <v>#DIV/0!</v>
      </c>
      <c r="F8" s="429">
        <f>RZiS!F9</f>
        <v>0</v>
      </c>
      <c r="G8" s="429">
        <f>RZiS!G9</f>
        <v>0</v>
      </c>
      <c r="H8" s="429">
        <f>RZiS!H9</f>
        <v>0</v>
      </c>
      <c r="I8" s="429">
        <f>RZiS!I9</f>
        <v>0</v>
      </c>
      <c r="J8" s="429">
        <f>RZiS!J9</f>
        <v>0</v>
      </c>
      <c r="K8" s="429">
        <f>RZiS!K9</f>
        <v>0</v>
      </c>
      <c r="L8" s="429">
        <f>RZiS!L9</f>
        <v>0</v>
      </c>
      <c r="M8" s="429">
        <f>RZiS!M9</f>
        <v>0</v>
      </c>
      <c r="N8" s="429">
        <f>RZiS!N9</f>
        <v>0</v>
      </c>
      <c r="O8" s="429">
        <f>RZiS!O9</f>
        <v>0</v>
      </c>
      <c r="P8" s="429">
        <f>RZiS!P9</f>
        <v>0</v>
      </c>
      <c r="Q8" s="429">
        <f>RZiS!Q9</f>
        <v>0</v>
      </c>
      <c r="R8" s="429" t="str">
        <f>RZiS!R9</f>
        <v>wpisać</v>
      </c>
      <c r="S8" s="429" t="e">
        <f>RZiS!S9</f>
        <v>#DIV/0!</v>
      </c>
      <c r="T8" s="430" t="e">
        <f>RZiS!T9</f>
        <v>#DIV/0!</v>
      </c>
      <c r="U8" s="415"/>
    </row>
    <row r="9" spans="1:21" hidden="1" x14ac:dyDescent="0.25">
      <c r="A9" s="415" t="str">
        <f>RZiS!A10</f>
        <v>II.</v>
      </c>
      <c r="B9" s="428" t="str">
        <f>RZiS!B10</f>
        <v>Zmiana stanu produktów (zwiększenie wartość dodatnia, zmniejszenie wartość ujemna)</v>
      </c>
      <c r="C9" s="429">
        <f>RZiS!C10</f>
        <v>0</v>
      </c>
      <c r="D9" s="429">
        <f>RZiS!D10</f>
        <v>0</v>
      </c>
      <c r="E9" s="429" t="e">
        <f>RZiS!E10</f>
        <v>#DIV/0!</v>
      </c>
      <c r="F9" s="429">
        <f>RZiS!F10</f>
        <v>0</v>
      </c>
      <c r="G9" s="429">
        <f>RZiS!G10</f>
        <v>0</v>
      </c>
      <c r="H9" s="429">
        <f>RZiS!H10</f>
        <v>0</v>
      </c>
      <c r="I9" s="429">
        <f>RZiS!I10</f>
        <v>0</v>
      </c>
      <c r="J9" s="429">
        <f>RZiS!J10</f>
        <v>0</v>
      </c>
      <c r="K9" s="429">
        <f>RZiS!K10</f>
        <v>0</v>
      </c>
      <c r="L9" s="429">
        <f>RZiS!L10</f>
        <v>0</v>
      </c>
      <c r="M9" s="429">
        <f>RZiS!M10</f>
        <v>0</v>
      </c>
      <c r="N9" s="429">
        <f>RZiS!N10</f>
        <v>0</v>
      </c>
      <c r="O9" s="429">
        <f>RZiS!O10</f>
        <v>0</v>
      </c>
      <c r="P9" s="429">
        <f>RZiS!P10</f>
        <v>0</v>
      </c>
      <c r="Q9" s="429">
        <f>RZiS!Q10</f>
        <v>0</v>
      </c>
      <c r="R9" s="429" t="str">
        <f>RZiS!R10</f>
        <v>wpisać</v>
      </c>
      <c r="S9" s="429" t="e">
        <f>RZiS!S10</f>
        <v>#DIV/0!</v>
      </c>
      <c r="T9" s="430" t="e">
        <f>RZiS!T10</f>
        <v>#DIV/0!</v>
      </c>
      <c r="U9" s="415"/>
    </row>
    <row r="10" spans="1:21" hidden="1" x14ac:dyDescent="0.25">
      <c r="A10" s="415" t="str">
        <f>RZiS!A11</f>
        <v>III.</v>
      </c>
      <c r="B10" s="428" t="str">
        <f>RZiS!B11</f>
        <v xml:space="preserve">Koszt wytworzenia produktów na własne potrzeby jednostki </v>
      </c>
      <c r="C10" s="429">
        <f>RZiS!C11</f>
        <v>0</v>
      </c>
      <c r="D10" s="429">
        <f>RZiS!D11</f>
        <v>0</v>
      </c>
      <c r="E10" s="429" t="e">
        <f>RZiS!E11</f>
        <v>#DIV/0!</v>
      </c>
      <c r="F10" s="429">
        <f>RZiS!F11</f>
        <v>0</v>
      </c>
      <c r="G10" s="429">
        <f>RZiS!G11</f>
        <v>0</v>
      </c>
      <c r="H10" s="429">
        <f>RZiS!H11</f>
        <v>0</v>
      </c>
      <c r="I10" s="429">
        <f>RZiS!I11</f>
        <v>0</v>
      </c>
      <c r="J10" s="429">
        <f>RZiS!J11</f>
        <v>0</v>
      </c>
      <c r="K10" s="429">
        <f>RZiS!K11</f>
        <v>0</v>
      </c>
      <c r="L10" s="429">
        <f>RZiS!L11</f>
        <v>0</v>
      </c>
      <c r="M10" s="429">
        <f>RZiS!M11</f>
        <v>0</v>
      </c>
      <c r="N10" s="429">
        <f>RZiS!N11</f>
        <v>0</v>
      </c>
      <c r="O10" s="429">
        <f>RZiS!O11</f>
        <v>0</v>
      </c>
      <c r="P10" s="429">
        <f>RZiS!P11</f>
        <v>0</v>
      </c>
      <c r="Q10" s="429">
        <f>RZiS!Q11</f>
        <v>0</v>
      </c>
      <c r="R10" s="429" t="str">
        <f>RZiS!R11</f>
        <v>wpisać</v>
      </c>
      <c r="S10" s="429" t="e">
        <f>RZiS!S11</f>
        <v>#DIV/0!</v>
      </c>
      <c r="T10" s="430" t="e">
        <f>RZiS!T11</f>
        <v>#DIV/0!</v>
      </c>
      <c r="U10" s="415"/>
    </row>
    <row r="11" spans="1:21" x14ac:dyDescent="0.25">
      <c r="A11" s="415" t="str">
        <f>RZiS!A12</f>
        <v>IV.</v>
      </c>
      <c r="B11" s="428" t="str">
        <f>RZiS!B12</f>
        <v>Przychody netto ze sprzedaży towarów i materiałów.</v>
      </c>
      <c r="C11" s="429">
        <f>RZiS!C12</f>
        <v>0</v>
      </c>
      <c r="D11" s="429">
        <f>RZiS!D12</f>
        <v>0</v>
      </c>
      <c r="E11" s="429" t="e">
        <f>RZiS!E12</f>
        <v>#DIV/0!</v>
      </c>
      <c r="F11" s="429">
        <f>RZiS!F12</f>
        <v>0</v>
      </c>
      <c r="G11" s="429">
        <f>RZiS!G12</f>
        <v>0</v>
      </c>
      <c r="H11" s="429">
        <f>RZiS!H12</f>
        <v>0</v>
      </c>
      <c r="I11" s="429">
        <f>RZiS!I12</f>
        <v>0</v>
      </c>
      <c r="J11" s="429">
        <f>RZiS!J12</f>
        <v>0</v>
      </c>
      <c r="K11" s="429">
        <f>RZiS!K12</f>
        <v>0</v>
      </c>
      <c r="L11" s="429">
        <f>RZiS!L12</f>
        <v>0</v>
      </c>
      <c r="M11" s="429">
        <f>RZiS!M12</f>
        <v>0</v>
      </c>
      <c r="N11" s="429">
        <f>RZiS!N12</f>
        <v>0</v>
      </c>
      <c r="O11" s="429">
        <f>RZiS!O12</f>
        <v>0</v>
      </c>
      <c r="P11" s="429">
        <f>RZiS!P12</f>
        <v>0</v>
      </c>
      <c r="Q11" s="429">
        <f>RZiS!Q12</f>
        <v>0</v>
      </c>
      <c r="R11" s="429" t="str">
        <f>RZiS!R12</f>
        <v>wpisać</v>
      </c>
      <c r="S11" s="429" t="e">
        <f>RZiS!S12</f>
        <v>#DIV/0!</v>
      </c>
      <c r="T11" s="430" t="e">
        <f>RZiS!T12</f>
        <v>#DIV/0!</v>
      </c>
      <c r="U11" s="415"/>
    </row>
    <row r="12" spans="1:21" x14ac:dyDescent="0.25">
      <c r="A12" s="415" t="str">
        <f>RZiS!A13</f>
        <v>B.</v>
      </c>
      <c r="B12" s="421" t="str">
        <f>RZiS!B13</f>
        <v>Koszty działalności operacyjnej</v>
      </c>
      <c r="C12" s="417">
        <f>RZiS!C13</f>
        <v>0</v>
      </c>
      <c r="D12" s="417">
        <f>RZiS!D13</f>
        <v>0</v>
      </c>
      <c r="E12" s="417" t="e">
        <f>RZiS!E13</f>
        <v>#DIV/0!</v>
      </c>
      <c r="F12" s="417">
        <f>RZiS!F13</f>
        <v>0</v>
      </c>
      <c r="G12" s="417">
        <f>RZiS!G13</f>
        <v>0</v>
      </c>
      <c r="H12" s="417">
        <f>RZiS!H13</f>
        <v>0</v>
      </c>
      <c r="I12" s="417">
        <f>RZiS!I13</f>
        <v>0</v>
      </c>
      <c r="J12" s="417">
        <f>RZiS!J13</f>
        <v>0</v>
      </c>
      <c r="K12" s="417">
        <f>RZiS!K13</f>
        <v>0</v>
      </c>
      <c r="L12" s="417">
        <f>RZiS!L13</f>
        <v>0</v>
      </c>
      <c r="M12" s="417">
        <f>RZiS!M13</f>
        <v>0</v>
      </c>
      <c r="N12" s="417">
        <f>RZiS!N13</f>
        <v>0</v>
      </c>
      <c r="O12" s="417">
        <f>RZiS!O13</f>
        <v>0</v>
      </c>
      <c r="P12" s="417">
        <f>RZiS!P13</f>
        <v>0</v>
      </c>
      <c r="Q12" s="417">
        <f>RZiS!Q13</f>
        <v>0</v>
      </c>
      <c r="R12" s="417">
        <f>RZiS!R13</f>
        <v>0</v>
      </c>
      <c r="S12" s="417" t="e">
        <f>RZiS!S13</f>
        <v>#DIV/0!</v>
      </c>
      <c r="T12" s="422" t="e">
        <f>RZiS!T13</f>
        <v>#DIV/0!</v>
      </c>
      <c r="U12" s="415"/>
    </row>
    <row r="13" spans="1:21" x14ac:dyDescent="0.25">
      <c r="A13" s="415" t="str">
        <f>RZiS!A14</f>
        <v>I.</v>
      </c>
      <c r="B13" s="428" t="str">
        <f>RZiS!B14</f>
        <v>Amortyzacja</v>
      </c>
      <c r="C13" s="429">
        <f>RZiS!C14</f>
        <v>0</v>
      </c>
      <c r="D13" s="429">
        <f>RZiS!D14</f>
        <v>0</v>
      </c>
      <c r="E13" s="429" t="e">
        <f>RZiS!E14</f>
        <v>#DIV/0!</v>
      </c>
      <c r="F13" s="429">
        <f>RZiS!F14</f>
        <v>0</v>
      </c>
      <c r="G13" s="429">
        <f>RZiS!G14</f>
        <v>0</v>
      </c>
      <c r="H13" s="429">
        <f>RZiS!H14</f>
        <v>0</v>
      </c>
      <c r="I13" s="429">
        <f>RZiS!I14</f>
        <v>0</v>
      </c>
      <c r="J13" s="429">
        <f>RZiS!J14</f>
        <v>0</v>
      </c>
      <c r="K13" s="429">
        <f>RZiS!K14</f>
        <v>0</v>
      </c>
      <c r="L13" s="429">
        <f>RZiS!L14</f>
        <v>0</v>
      </c>
      <c r="M13" s="429">
        <f>RZiS!M14</f>
        <v>0</v>
      </c>
      <c r="N13" s="429">
        <f>RZiS!N14</f>
        <v>0</v>
      </c>
      <c r="O13" s="429">
        <f>RZiS!O14</f>
        <v>0</v>
      </c>
      <c r="P13" s="429">
        <f>RZiS!P14</f>
        <v>0</v>
      </c>
      <c r="Q13" s="429">
        <f>RZiS!Q14</f>
        <v>0</v>
      </c>
      <c r="R13" s="429" t="str">
        <f>RZiS!R14</f>
        <v>wpisać</v>
      </c>
      <c r="S13" s="429" t="e">
        <f>RZiS!S14</f>
        <v>#DIV/0!</v>
      </c>
      <c r="T13" s="430" t="e">
        <f>RZiS!T14</f>
        <v>#DIV/0!</v>
      </c>
      <c r="U13" s="415"/>
    </row>
    <row r="14" spans="1:21" x14ac:dyDescent="0.25">
      <c r="A14" s="415" t="str">
        <f>RZiS!A15</f>
        <v>II.</v>
      </c>
      <c r="B14" s="428" t="str">
        <f>RZiS!B15</f>
        <v>Zużycie materiałów i energii</v>
      </c>
      <c r="C14" s="429">
        <f>RZiS!C15</f>
        <v>0</v>
      </c>
      <c r="D14" s="429">
        <f>RZiS!D15</f>
        <v>0</v>
      </c>
      <c r="E14" s="429" t="e">
        <f>RZiS!E15</f>
        <v>#DIV/0!</v>
      </c>
      <c r="F14" s="429">
        <f>RZiS!F15</f>
        <v>0</v>
      </c>
      <c r="G14" s="429">
        <f>RZiS!G15</f>
        <v>0</v>
      </c>
      <c r="H14" s="429">
        <f>RZiS!H15</f>
        <v>0</v>
      </c>
      <c r="I14" s="429">
        <f>RZiS!I15</f>
        <v>0</v>
      </c>
      <c r="J14" s="429">
        <f>RZiS!J15</f>
        <v>0</v>
      </c>
      <c r="K14" s="429">
        <f>RZiS!K15</f>
        <v>0</v>
      </c>
      <c r="L14" s="429">
        <f>RZiS!L15</f>
        <v>0</v>
      </c>
      <c r="M14" s="429">
        <f>RZiS!M15</f>
        <v>0</v>
      </c>
      <c r="N14" s="429">
        <f>RZiS!N15</f>
        <v>0</v>
      </c>
      <c r="O14" s="429">
        <f>RZiS!O15</f>
        <v>0</v>
      </c>
      <c r="P14" s="429">
        <f>RZiS!P15</f>
        <v>0</v>
      </c>
      <c r="Q14" s="429">
        <f>RZiS!Q15</f>
        <v>0</v>
      </c>
      <c r="R14" s="429" t="str">
        <f>RZiS!R15</f>
        <v>wpisać</v>
      </c>
      <c r="S14" s="429" t="e">
        <f>RZiS!S15</f>
        <v>#DIV/0!</v>
      </c>
      <c r="T14" s="430" t="e">
        <f>RZiS!T15</f>
        <v>#DIV/0!</v>
      </c>
      <c r="U14" s="415"/>
    </row>
    <row r="15" spans="1:21" x14ac:dyDescent="0.25">
      <c r="A15" s="415" t="str">
        <f>RZiS!A16</f>
        <v>III.</v>
      </c>
      <c r="B15" s="428" t="str">
        <f>RZiS!B16</f>
        <v>Usługi obce</v>
      </c>
      <c r="C15" s="429">
        <f>RZiS!C16</f>
        <v>0</v>
      </c>
      <c r="D15" s="429">
        <f>RZiS!D16</f>
        <v>0</v>
      </c>
      <c r="E15" s="429" t="e">
        <f>RZiS!E16</f>
        <v>#DIV/0!</v>
      </c>
      <c r="F15" s="429">
        <f>RZiS!F16</f>
        <v>0</v>
      </c>
      <c r="G15" s="429">
        <f>RZiS!G16</f>
        <v>0</v>
      </c>
      <c r="H15" s="429">
        <f>RZiS!H16</f>
        <v>0</v>
      </c>
      <c r="I15" s="429">
        <f>RZiS!I16</f>
        <v>0</v>
      </c>
      <c r="J15" s="429">
        <f>RZiS!J16</f>
        <v>0</v>
      </c>
      <c r="K15" s="429">
        <f>RZiS!K16</f>
        <v>0</v>
      </c>
      <c r="L15" s="429">
        <f>RZiS!L16</f>
        <v>0</v>
      </c>
      <c r="M15" s="429">
        <f>RZiS!M16</f>
        <v>0</v>
      </c>
      <c r="N15" s="429">
        <f>RZiS!N16</f>
        <v>0</v>
      </c>
      <c r="O15" s="429">
        <f>RZiS!O16</f>
        <v>0</v>
      </c>
      <c r="P15" s="429">
        <f>RZiS!P16</f>
        <v>0</v>
      </c>
      <c r="Q15" s="429">
        <f>RZiS!Q16</f>
        <v>0</v>
      </c>
      <c r="R15" s="429" t="str">
        <f>RZiS!R16</f>
        <v>wpisać</v>
      </c>
      <c r="S15" s="429" t="e">
        <f>RZiS!S16</f>
        <v>#DIV/0!</v>
      </c>
      <c r="T15" s="430" t="e">
        <f>RZiS!T16</f>
        <v>#DIV/0!</v>
      </c>
      <c r="U15" s="415"/>
    </row>
    <row r="16" spans="1:21" x14ac:dyDescent="0.25">
      <c r="A16" s="415" t="str">
        <f>RZiS!A17</f>
        <v>IV.</v>
      </c>
      <c r="B16" s="428" t="str">
        <f>RZiS!B17</f>
        <v>Podatki i opłaty, w tym</v>
      </c>
      <c r="C16" s="429">
        <f>RZiS!C17</f>
        <v>0</v>
      </c>
      <c r="D16" s="429">
        <f>RZiS!D17</f>
        <v>0</v>
      </c>
      <c r="E16" s="429" t="e">
        <f>RZiS!E17</f>
        <v>#DIV/0!</v>
      </c>
      <c r="F16" s="429">
        <f>RZiS!F17</f>
        <v>0</v>
      </c>
      <c r="G16" s="429">
        <f>RZiS!G17</f>
        <v>0</v>
      </c>
      <c r="H16" s="429">
        <f>RZiS!H17</f>
        <v>0</v>
      </c>
      <c r="I16" s="429">
        <f>RZiS!I17</f>
        <v>0</v>
      </c>
      <c r="J16" s="429">
        <f>RZiS!J17</f>
        <v>0</v>
      </c>
      <c r="K16" s="429">
        <f>RZiS!K17</f>
        <v>0</v>
      </c>
      <c r="L16" s="429">
        <f>RZiS!L17</f>
        <v>0</v>
      </c>
      <c r="M16" s="429">
        <f>RZiS!M17</f>
        <v>0</v>
      </c>
      <c r="N16" s="429">
        <f>RZiS!N17</f>
        <v>0</v>
      </c>
      <c r="O16" s="429">
        <f>RZiS!O17</f>
        <v>0</v>
      </c>
      <c r="P16" s="429">
        <f>RZiS!P17</f>
        <v>0</v>
      </c>
      <c r="Q16" s="429">
        <f>RZiS!Q17</f>
        <v>0</v>
      </c>
      <c r="R16" s="429" t="str">
        <f>RZiS!R17</f>
        <v>wpisać</v>
      </c>
      <c r="S16" s="429" t="e">
        <f>RZiS!S17</f>
        <v>#DIV/0!</v>
      </c>
      <c r="T16" s="430" t="e">
        <f>RZiS!T17</f>
        <v>#DIV/0!</v>
      </c>
      <c r="U16" s="415"/>
    </row>
    <row r="17" spans="1:21" hidden="1" x14ac:dyDescent="0.25">
      <c r="A17" s="415">
        <f>RZiS!A18</f>
        <v>0</v>
      </c>
      <c r="B17" s="428" t="str">
        <f>RZiS!B18</f>
        <v xml:space="preserve"> - podatek akcyzowy</v>
      </c>
      <c r="C17" s="429">
        <f>RZiS!C18</f>
        <v>0</v>
      </c>
      <c r="D17" s="429">
        <f>RZiS!D18</f>
        <v>0</v>
      </c>
      <c r="E17" s="429" t="e">
        <f>RZiS!E18</f>
        <v>#DIV/0!</v>
      </c>
      <c r="F17" s="429">
        <f>RZiS!F18</f>
        <v>0</v>
      </c>
      <c r="G17" s="429">
        <f>RZiS!G18</f>
        <v>0</v>
      </c>
      <c r="H17" s="429">
        <f>RZiS!H18</f>
        <v>0</v>
      </c>
      <c r="I17" s="429">
        <f>RZiS!I18</f>
        <v>0</v>
      </c>
      <c r="J17" s="429">
        <f>RZiS!J18</f>
        <v>0</v>
      </c>
      <c r="K17" s="429">
        <f>RZiS!K18</f>
        <v>0</v>
      </c>
      <c r="L17" s="429">
        <f>RZiS!L18</f>
        <v>0</v>
      </c>
      <c r="M17" s="429">
        <f>RZiS!M18</f>
        <v>0</v>
      </c>
      <c r="N17" s="429">
        <f>RZiS!N18</f>
        <v>0</v>
      </c>
      <c r="O17" s="429">
        <f>RZiS!O18</f>
        <v>0</v>
      </c>
      <c r="P17" s="429">
        <f>RZiS!P18</f>
        <v>0</v>
      </c>
      <c r="Q17" s="429">
        <f>RZiS!Q18</f>
        <v>0</v>
      </c>
      <c r="R17" s="429" t="str">
        <f>RZiS!R18</f>
        <v>wpisać</v>
      </c>
      <c r="S17" s="429" t="e">
        <f>RZiS!S18</f>
        <v>#DIV/0!</v>
      </c>
      <c r="T17" s="430" t="e">
        <f>RZiS!T18</f>
        <v>#DIV/0!</v>
      </c>
      <c r="U17" s="415"/>
    </row>
    <row r="18" spans="1:21" x14ac:dyDescent="0.25">
      <c r="A18" s="415" t="str">
        <f>RZiS!A19</f>
        <v>V.</v>
      </c>
      <c r="B18" s="428" t="str">
        <f>RZiS!B19</f>
        <v>Wynagrodzenia</v>
      </c>
      <c r="C18" s="429">
        <f>RZiS!C19</f>
        <v>0</v>
      </c>
      <c r="D18" s="429">
        <f>RZiS!D19</f>
        <v>0</v>
      </c>
      <c r="E18" s="429" t="e">
        <f>RZiS!E19</f>
        <v>#DIV/0!</v>
      </c>
      <c r="F18" s="429">
        <f>RZiS!F19</f>
        <v>0</v>
      </c>
      <c r="G18" s="429">
        <f>RZiS!G19</f>
        <v>0</v>
      </c>
      <c r="H18" s="429">
        <f>RZiS!H19</f>
        <v>0</v>
      </c>
      <c r="I18" s="429">
        <f>RZiS!I19</f>
        <v>0</v>
      </c>
      <c r="J18" s="429">
        <f>RZiS!J19</f>
        <v>0</v>
      </c>
      <c r="K18" s="429">
        <f>RZiS!K19</f>
        <v>0</v>
      </c>
      <c r="L18" s="429">
        <f>RZiS!L19</f>
        <v>0</v>
      </c>
      <c r="M18" s="429">
        <f>RZiS!M19</f>
        <v>0</v>
      </c>
      <c r="N18" s="429">
        <f>RZiS!N19</f>
        <v>0</v>
      </c>
      <c r="O18" s="429">
        <f>RZiS!O19</f>
        <v>0</v>
      </c>
      <c r="P18" s="429">
        <f>RZiS!P19</f>
        <v>0</v>
      </c>
      <c r="Q18" s="429">
        <f>RZiS!Q19</f>
        <v>0</v>
      </c>
      <c r="R18" s="429" t="str">
        <f>RZiS!R19</f>
        <v>wpisać</v>
      </c>
      <c r="S18" s="429" t="e">
        <f>RZiS!S19</f>
        <v>#DIV/0!</v>
      </c>
      <c r="T18" s="430" t="e">
        <f>RZiS!T19</f>
        <v>#DIV/0!</v>
      </c>
      <c r="U18" s="415"/>
    </row>
    <row r="19" spans="1:21" x14ac:dyDescent="0.25">
      <c r="A19" s="415" t="str">
        <f>RZiS!A20</f>
        <v>VI.</v>
      </c>
      <c r="B19" s="428" t="str">
        <f>RZiS!B20</f>
        <v>Ubezpieczenia społeczne i inne świadczenia</v>
      </c>
      <c r="C19" s="429">
        <f>RZiS!C20</f>
        <v>0</v>
      </c>
      <c r="D19" s="429">
        <f>RZiS!D20</f>
        <v>0</v>
      </c>
      <c r="E19" s="429" t="e">
        <f>RZiS!E20</f>
        <v>#DIV/0!</v>
      </c>
      <c r="F19" s="429">
        <f>RZiS!F20</f>
        <v>0</v>
      </c>
      <c r="G19" s="429">
        <f>RZiS!G20</f>
        <v>0</v>
      </c>
      <c r="H19" s="429">
        <f>RZiS!H20</f>
        <v>0</v>
      </c>
      <c r="I19" s="429">
        <f>RZiS!I20</f>
        <v>0</v>
      </c>
      <c r="J19" s="429">
        <f>RZiS!J20</f>
        <v>0</v>
      </c>
      <c r="K19" s="429">
        <f>RZiS!K20</f>
        <v>0</v>
      </c>
      <c r="L19" s="429">
        <f>RZiS!L20</f>
        <v>0</v>
      </c>
      <c r="M19" s="429">
        <f>RZiS!M20</f>
        <v>0</v>
      </c>
      <c r="N19" s="429">
        <f>RZiS!N20</f>
        <v>0</v>
      </c>
      <c r="O19" s="429">
        <f>RZiS!O20</f>
        <v>0</v>
      </c>
      <c r="P19" s="429">
        <f>RZiS!P20</f>
        <v>0</v>
      </c>
      <c r="Q19" s="429">
        <f>RZiS!Q20</f>
        <v>0</v>
      </c>
      <c r="R19" s="429" t="str">
        <f>RZiS!R20</f>
        <v>wpisać</v>
      </c>
      <c r="S19" s="429" t="e">
        <f>RZiS!S20</f>
        <v>#DIV/0!</v>
      </c>
      <c r="T19" s="430" t="e">
        <f>RZiS!T20</f>
        <v>#DIV/0!</v>
      </c>
      <c r="U19" s="415"/>
    </row>
    <row r="20" spans="1:21" x14ac:dyDescent="0.25">
      <c r="A20" s="415" t="str">
        <f>RZiS!A21</f>
        <v>VII.</v>
      </c>
      <c r="B20" s="428" t="str">
        <f>RZiS!B21</f>
        <v>Pozostałe koszty rodzajowe</v>
      </c>
      <c r="C20" s="429">
        <f>RZiS!C21</f>
        <v>0</v>
      </c>
      <c r="D20" s="429">
        <f>RZiS!D21</f>
        <v>0</v>
      </c>
      <c r="E20" s="429" t="e">
        <f>RZiS!E21</f>
        <v>#DIV/0!</v>
      </c>
      <c r="F20" s="429">
        <f>RZiS!F21</f>
        <v>0</v>
      </c>
      <c r="G20" s="429">
        <f>RZiS!G21</f>
        <v>0</v>
      </c>
      <c r="H20" s="429">
        <f>RZiS!H21</f>
        <v>0</v>
      </c>
      <c r="I20" s="429">
        <f>RZiS!I21</f>
        <v>0</v>
      </c>
      <c r="J20" s="429">
        <f>RZiS!J21</f>
        <v>0</v>
      </c>
      <c r="K20" s="429">
        <f>RZiS!K21</f>
        <v>0</v>
      </c>
      <c r="L20" s="429">
        <f>RZiS!L21</f>
        <v>0</v>
      </c>
      <c r="M20" s="429">
        <f>RZiS!M21</f>
        <v>0</v>
      </c>
      <c r="N20" s="429">
        <f>RZiS!N21</f>
        <v>0</v>
      </c>
      <c r="O20" s="429">
        <f>RZiS!O21</f>
        <v>0</v>
      </c>
      <c r="P20" s="429">
        <f>RZiS!P21</f>
        <v>0</v>
      </c>
      <c r="Q20" s="429">
        <f>RZiS!Q21</f>
        <v>0</v>
      </c>
      <c r="R20" s="429" t="str">
        <f>RZiS!R21</f>
        <v>wpisać</v>
      </c>
      <c r="S20" s="429" t="e">
        <f>RZiS!S21</f>
        <v>#DIV/0!</v>
      </c>
      <c r="T20" s="430" t="e">
        <f>RZiS!T21</f>
        <v>#DIV/0!</v>
      </c>
      <c r="U20" s="415"/>
    </row>
    <row r="21" spans="1:21" x14ac:dyDescent="0.25">
      <c r="A21" s="415" t="str">
        <f>RZiS!A22</f>
        <v>VIII.</v>
      </c>
      <c r="B21" s="428" t="str">
        <f>RZiS!B22</f>
        <v>Wartość sprzedanych towarów i materiałów</v>
      </c>
      <c r="C21" s="429">
        <f>RZiS!C22</f>
        <v>0</v>
      </c>
      <c r="D21" s="429">
        <f>RZiS!D22</f>
        <v>0</v>
      </c>
      <c r="E21" s="429" t="e">
        <f>RZiS!E22</f>
        <v>#DIV/0!</v>
      </c>
      <c r="F21" s="429">
        <f>RZiS!F22</f>
        <v>0</v>
      </c>
      <c r="G21" s="429">
        <f>RZiS!G22</f>
        <v>0</v>
      </c>
      <c r="H21" s="429">
        <f>RZiS!H22</f>
        <v>0</v>
      </c>
      <c r="I21" s="429">
        <f>RZiS!I22</f>
        <v>0</v>
      </c>
      <c r="J21" s="429">
        <f>RZiS!J22</f>
        <v>0</v>
      </c>
      <c r="K21" s="429">
        <f>RZiS!K22</f>
        <v>0</v>
      </c>
      <c r="L21" s="429">
        <f>RZiS!L22</f>
        <v>0</v>
      </c>
      <c r="M21" s="429">
        <f>RZiS!M22</f>
        <v>0</v>
      </c>
      <c r="N21" s="429">
        <f>RZiS!N22</f>
        <v>0</v>
      </c>
      <c r="O21" s="429">
        <f>RZiS!O22</f>
        <v>0</v>
      </c>
      <c r="P21" s="429">
        <f>RZiS!P22</f>
        <v>0</v>
      </c>
      <c r="Q21" s="429">
        <f>RZiS!Q22</f>
        <v>0</v>
      </c>
      <c r="R21" s="429" t="str">
        <f>RZiS!R22</f>
        <v>wpisać</v>
      </c>
      <c r="S21" s="429" t="e">
        <f>RZiS!S22</f>
        <v>#DIV/0!</v>
      </c>
      <c r="T21" s="430" t="e">
        <f>RZiS!T22</f>
        <v>#DIV/0!</v>
      </c>
      <c r="U21" s="415"/>
    </row>
    <row r="22" spans="1:21" x14ac:dyDescent="0.25">
      <c r="A22" s="415" t="str">
        <f>RZiS!A23</f>
        <v>C.</v>
      </c>
      <c r="B22" s="421" t="str">
        <f>RZiS!B23</f>
        <v>Zysk (strata) ze sprzedaży (A-B)</v>
      </c>
      <c r="C22" s="417">
        <f>RZiS!C23</f>
        <v>0</v>
      </c>
      <c r="D22" s="417">
        <f>RZiS!D23</f>
        <v>0</v>
      </c>
      <c r="E22" s="417" t="e">
        <f>RZiS!E23</f>
        <v>#DIV/0!</v>
      </c>
      <c r="F22" s="417">
        <f>RZiS!F23</f>
        <v>0</v>
      </c>
      <c r="G22" s="417">
        <f>RZiS!G23</f>
        <v>0</v>
      </c>
      <c r="H22" s="417">
        <f>RZiS!H23</f>
        <v>0</v>
      </c>
      <c r="I22" s="417">
        <f>RZiS!I23</f>
        <v>0</v>
      </c>
      <c r="J22" s="417">
        <f>RZiS!J23</f>
        <v>0</v>
      </c>
      <c r="K22" s="417">
        <f>RZiS!K23</f>
        <v>0</v>
      </c>
      <c r="L22" s="417">
        <f>RZiS!L23</f>
        <v>0</v>
      </c>
      <c r="M22" s="417">
        <f>RZiS!M23</f>
        <v>0</v>
      </c>
      <c r="N22" s="417">
        <f>RZiS!N23</f>
        <v>0</v>
      </c>
      <c r="O22" s="417">
        <f>RZiS!O23</f>
        <v>0</v>
      </c>
      <c r="P22" s="417">
        <f>RZiS!P23</f>
        <v>0</v>
      </c>
      <c r="Q22" s="417">
        <f>RZiS!Q23</f>
        <v>0</v>
      </c>
      <c r="R22" s="417">
        <f>RZiS!R23</f>
        <v>0</v>
      </c>
      <c r="S22" s="417" t="e">
        <f>RZiS!S23</f>
        <v>#DIV/0!</v>
      </c>
      <c r="T22" s="422" t="e">
        <f>RZiS!T23</f>
        <v>#DIV/0!</v>
      </c>
      <c r="U22" s="415"/>
    </row>
    <row r="23" spans="1:21" x14ac:dyDescent="0.25">
      <c r="A23" s="415" t="str">
        <f>RZiS!A24</f>
        <v>D.</v>
      </c>
      <c r="B23" s="428" t="str">
        <f>RZiS!B24</f>
        <v>Pozostałe przychody operacyjne</v>
      </c>
      <c r="C23" s="429">
        <f>RZiS!C24</f>
        <v>0</v>
      </c>
      <c r="D23" s="429">
        <f>RZiS!D24</f>
        <v>0</v>
      </c>
      <c r="E23" s="429" t="e">
        <f>RZiS!E24</f>
        <v>#DIV/0!</v>
      </c>
      <c r="F23" s="429">
        <f>RZiS!F24</f>
        <v>0</v>
      </c>
      <c r="G23" s="429">
        <f>RZiS!G24</f>
        <v>0</v>
      </c>
      <c r="H23" s="429">
        <f>RZiS!H24</f>
        <v>0</v>
      </c>
      <c r="I23" s="429">
        <f>RZiS!I24</f>
        <v>0</v>
      </c>
      <c r="J23" s="429">
        <f>RZiS!J24</f>
        <v>0</v>
      </c>
      <c r="K23" s="429">
        <f>RZiS!K24</f>
        <v>0</v>
      </c>
      <c r="L23" s="429">
        <f>RZiS!L24</f>
        <v>0</v>
      </c>
      <c r="M23" s="429">
        <f>RZiS!M24</f>
        <v>0</v>
      </c>
      <c r="N23" s="429">
        <f>RZiS!N24</f>
        <v>0</v>
      </c>
      <c r="O23" s="429">
        <f>RZiS!O24</f>
        <v>0</v>
      </c>
      <c r="P23" s="429">
        <f>RZiS!P24</f>
        <v>0</v>
      </c>
      <c r="Q23" s="429">
        <f>RZiS!Q24</f>
        <v>0</v>
      </c>
      <c r="R23" s="429">
        <f>RZiS!R24</f>
        <v>0</v>
      </c>
      <c r="S23" s="429" t="e">
        <f>RZiS!S24</f>
        <v>#DIV/0!</v>
      </c>
      <c r="T23" s="430" t="e">
        <f>RZiS!T24</f>
        <v>#DIV/0!</v>
      </c>
      <c r="U23" s="415"/>
    </row>
    <row r="24" spans="1:21" x14ac:dyDescent="0.25">
      <c r="A24" s="415" t="str">
        <f>RZiS!A25</f>
        <v>I.</v>
      </c>
      <c r="B24" s="428" t="str">
        <f>RZiS!B25</f>
        <v xml:space="preserve">Zysk ze zbycia niefinansowych aktywów trwałych </v>
      </c>
      <c r="C24" s="429">
        <f>RZiS!C25</f>
        <v>0</v>
      </c>
      <c r="D24" s="429">
        <f>RZiS!D25</f>
        <v>0</v>
      </c>
      <c r="E24" s="429" t="e">
        <f>RZiS!E25</f>
        <v>#DIV/0!</v>
      </c>
      <c r="F24" s="429">
        <f>RZiS!F25</f>
        <v>0</v>
      </c>
      <c r="G24" s="429">
        <f>RZiS!G25</f>
        <v>0</v>
      </c>
      <c r="H24" s="429">
        <f>RZiS!H25</f>
        <v>0</v>
      </c>
      <c r="I24" s="429">
        <f>RZiS!I25</f>
        <v>0</v>
      </c>
      <c r="J24" s="429">
        <f>RZiS!J25</f>
        <v>0</v>
      </c>
      <c r="K24" s="429">
        <f>RZiS!K25</f>
        <v>0</v>
      </c>
      <c r="L24" s="429">
        <f>RZiS!L25</f>
        <v>0</v>
      </c>
      <c r="M24" s="429">
        <f>RZiS!M25</f>
        <v>0</v>
      </c>
      <c r="N24" s="429">
        <f>RZiS!N25</f>
        <v>0</v>
      </c>
      <c r="O24" s="429">
        <f>RZiS!O25</f>
        <v>0</v>
      </c>
      <c r="P24" s="429">
        <f>RZiS!P25</f>
        <v>0</v>
      </c>
      <c r="Q24" s="429">
        <f>RZiS!Q25</f>
        <v>0</v>
      </c>
      <c r="R24" s="429" t="str">
        <f>RZiS!R25</f>
        <v>wpisać</v>
      </c>
      <c r="S24" s="429" t="e">
        <f>RZiS!S25</f>
        <v>#DIV/0!</v>
      </c>
      <c r="T24" s="430" t="e">
        <f>RZiS!T25</f>
        <v>#DIV/0!</v>
      </c>
      <c r="U24" s="415"/>
    </row>
    <row r="25" spans="1:21" x14ac:dyDescent="0.25">
      <c r="A25" s="415" t="str">
        <f>RZiS!A26</f>
        <v>II.</v>
      </c>
      <c r="B25" s="428" t="str">
        <f>RZiS!B26</f>
        <v>Dotacje</v>
      </c>
      <c r="C25" s="429">
        <f>RZiS!C26</f>
        <v>0</v>
      </c>
      <c r="D25" s="429">
        <f>RZiS!D26</f>
        <v>0</v>
      </c>
      <c r="E25" s="429" t="e">
        <f>RZiS!E26</f>
        <v>#DIV/0!</v>
      </c>
      <c r="F25" s="429">
        <f>RZiS!F26</f>
        <v>0</v>
      </c>
      <c r="G25" s="429">
        <f>RZiS!G26</f>
        <v>0</v>
      </c>
      <c r="H25" s="429">
        <f>RZiS!H26</f>
        <v>0</v>
      </c>
      <c r="I25" s="429">
        <f>RZiS!I26</f>
        <v>0</v>
      </c>
      <c r="J25" s="429">
        <f>RZiS!J26</f>
        <v>0</v>
      </c>
      <c r="K25" s="429">
        <f>RZiS!K26</f>
        <v>0</v>
      </c>
      <c r="L25" s="429">
        <f>RZiS!L26</f>
        <v>0</v>
      </c>
      <c r="M25" s="429">
        <f>RZiS!M26</f>
        <v>0</v>
      </c>
      <c r="N25" s="429">
        <f>RZiS!N26</f>
        <v>0</v>
      </c>
      <c r="O25" s="429">
        <f>RZiS!O26</f>
        <v>0</v>
      </c>
      <c r="P25" s="429">
        <f>RZiS!P26</f>
        <v>0</v>
      </c>
      <c r="Q25" s="429">
        <f>RZiS!Q26</f>
        <v>0</v>
      </c>
      <c r="R25" s="429" t="str">
        <f>RZiS!R26</f>
        <v>wpisać</v>
      </c>
      <c r="S25" s="429" t="e">
        <f>RZiS!S26</f>
        <v>#DIV/0!</v>
      </c>
      <c r="T25" s="430" t="e">
        <f>RZiS!T26</f>
        <v>#DIV/0!</v>
      </c>
      <c r="U25" s="415"/>
    </row>
    <row r="26" spans="1:21" x14ac:dyDescent="0.25">
      <c r="A26" s="415" t="str">
        <f>RZiS!A27</f>
        <v>III.</v>
      </c>
      <c r="B26" s="428" t="str">
        <f>RZiS!B27</f>
        <v>Inne przychody operacyjne</v>
      </c>
      <c r="C26" s="429">
        <f>RZiS!C27</f>
        <v>0</v>
      </c>
      <c r="D26" s="429">
        <f>RZiS!D27</f>
        <v>0</v>
      </c>
      <c r="E26" s="429" t="e">
        <f>RZiS!E27</f>
        <v>#DIV/0!</v>
      </c>
      <c r="F26" s="429">
        <f>RZiS!F27</f>
        <v>0</v>
      </c>
      <c r="G26" s="429">
        <f>RZiS!G27</f>
        <v>0</v>
      </c>
      <c r="H26" s="429">
        <f>RZiS!H27</f>
        <v>0</v>
      </c>
      <c r="I26" s="429">
        <f>RZiS!I27</f>
        <v>0</v>
      </c>
      <c r="J26" s="429">
        <f>RZiS!J27</f>
        <v>0</v>
      </c>
      <c r="K26" s="429">
        <f>RZiS!K27</f>
        <v>0</v>
      </c>
      <c r="L26" s="429">
        <f>RZiS!L27</f>
        <v>0</v>
      </c>
      <c r="M26" s="429">
        <f>RZiS!M27</f>
        <v>0</v>
      </c>
      <c r="N26" s="429">
        <f>RZiS!N27</f>
        <v>0</v>
      </c>
      <c r="O26" s="429">
        <f>RZiS!O27</f>
        <v>0</v>
      </c>
      <c r="P26" s="429">
        <f>RZiS!P27</f>
        <v>0</v>
      </c>
      <c r="Q26" s="429">
        <f>RZiS!Q27</f>
        <v>0</v>
      </c>
      <c r="R26" s="429" t="str">
        <f>RZiS!R27</f>
        <v>wpisać</v>
      </c>
      <c r="S26" s="429" t="e">
        <f>RZiS!S27</f>
        <v>#DIV/0!</v>
      </c>
      <c r="T26" s="430" t="e">
        <f>RZiS!T27</f>
        <v>#DIV/0!</v>
      </c>
      <c r="U26" s="415"/>
    </row>
    <row r="27" spans="1:21" x14ac:dyDescent="0.25">
      <c r="A27" s="415" t="str">
        <f>RZiS!A28</f>
        <v>E.</v>
      </c>
      <c r="B27" s="428" t="str">
        <f>RZiS!B28</f>
        <v>Pozostałe koszty operacyjne</v>
      </c>
      <c r="C27" s="429">
        <f>RZiS!C28</f>
        <v>0</v>
      </c>
      <c r="D27" s="429">
        <f>RZiS!D28</f>
        <v>0</v>
      </c>
      <c r="E27" s="429" t="e">
        <f>RZiS!E28</f>
        <v>#DIV/0!</v>
      </c>
      <c r="F27" s="429">
        <f>RZiS!F28</f>
        <v>0</v>
      </c>
      <c r="G27" s="429">
        <f>RZiS!G28</f>
        <v>0</v>
      </c>
      <c r="H27" s="429">
        <f>RZiS!H28</f>
        <v>0</v>
      </c>
      <c r="I27" s="429">
        <f>RZiS!I28</f>
        <v>0</v>
      </c>
      <c r="J27" s="429">
        <f>RZiS!J28</f>
        <v>0</v>
      </c>
      <c r="K27" s="429">
        <f>RZiS!K28</f>
        <v>0</v>
      </c>
      <c r="L27" s="429">
        <f>RZiS!L28</f>
        <v>0</v>
      </c>
      <c r="M27" s="429">
        <f>RZiS!M28</f>
        <v>0</v>
      </c>
      <c r="N27" s="429">
        <f>RZiS!N28</f>
        <v>0</v>
      </c>
      <c r="O27" s="429">
        <f>RZiS!O28</f>
        <v>0</v>
      </c>
      <c r="P27" s="429">
        <f>RZiS!P28</f>
        <v>0</v>
      </c>
      <c r="Q27" s="429">
        <f>RZiS!Q28</f>
        <v>0</v>
      </c>
      <c r="R27" s="429">
        <f>RZiS!R28</f>
        <v>0</v>
      </c>
      <c r="S27" s="429" t="e">
        <f>RZiS!S28</f>
        <v>#DIV/0!</v>
      </c>
      <c r="T27" s="430" t="e">
        <f>RZiS!T28</f>
        <v>#DIV/0!</v>
      </c>
      <c r="U27" s="415"/>
    </row>
    <row r="28" spans="1:21" x14ac:dyDescent="0.25">
      <c r="A28" s="415" t="str">
        <f>RZiS!A29</f>
        <v>I.</v>
      </c>
      <c r="B28" s="428" t="str">
        <f>RZiS!B29</f>
        <v>Strata ze zbycia niefinansowych aktywów trwałych</v>
      </c>
      <c r="C28" s="429">
        <f>RZiS!C29</f>
        <v>0</v>
      </c>
      <c r="D28" s="429">
        <f>RZiS!D29</f>
        <v>0</v>
      </c>
      <c r="E28" s="429" t="e">
        <f>RZiS!E29</f>
        <v>#DIV/0!</v>
      </c>
      <c r="F28" s="429">
        <f>RZiS!F29</f>
        <v>0</v>
      </c>
      <c r="G28" s="429">
        <f>RZiS!G29</f>
        <v>0</v>
      </c>
      <c r="H28" s="429">
        <f>RZiS!H29</f>
        <v>0</v>
      </c>
      <c r="I28" s="429">
        <f>RZiS!I29</f>
        <v>0</v>
      </c>
      <c r="J28" s="429">
        <f>RZiS!J29</f>
        <v>0</v>
      </c>
      <c r="K28" s="429">
        <f>RZiS!K29</f>
        <v>0</v>
      </c>
      <c r="L28" s="429">
        <f>RZiS!L29</f>
        <v>0</v>
      </c>
      <c r="M28" s="429">
        <f>RZiS!M29</f>
        <v>0</v>
      </c>
      <c r="N28" s="429">
        <f>RZiS!N29</f>
        <v>0</v>
      </c>
      <c r="O28" s="429">
        <f>RZiS!O29</f>
        <v>0</v>
      </c>
      <c r="P28" s="429">
        <f>RZiS!P29</f>
        <v>0</v>
      </c>
      <c r="Q28" s="429">
        <f>RZiS!Q29</f>
        <v>0</v>
      </c>
      <c r="R28" s="429" t="str">
        <f>RZiS!R29</f>
        <v>wpisać</v>
      </c>
      <c r="S28" s="429" t="e">
        <f>RZiS!S29</f>
        <v>#DIV/0!</v>
      </c>
      <c r="T28" s="430" t="e">
        <f>RZiS!T29</f>
        <v>#DIV/0!</v>
      </c>
      <c r="U28" s="415"/>
    </row>
    <row r="29" spans="1:21" hidden="1" x14ac:dyDescent="0.25">
      <c r="A29" s="415" t="str">
        <f>RZiS!A30</f>
        <v>II.</v>
      </c>
      <c r="B29" s="428">
        <f>RZiS!B30</f>
        <v>0</v>
      </c>
      <c r="C29" s="429">
        <f>RZiS!C30</f>
        <v>0</v>
      </c>
      <c r="D29" s="429">
        <f>RZiS!D30</f>
        <v>0</v>
      </c>
      <c r="E29" s="429" t="e">
        <f>RZiS!E30</f>
        <v>#DIV/0!</v>
      </c>
      <c r="F29" s="429">
        <f>RZiS!F30</f>
        <v>0</v>
      </c>
      <c r="G29" s="429">
        <f>RZiS!G30</f>
        <v>0</v>
      </c>
      <c r="H29" s="429">
        <f>RZiS!H30</f>
        <v>0</v>
      </c>
      <c r="I29" s="429">
        <f>RZiS!I30</f>
        <v>0</v>
      </c>
      <c r="J29" s="429">
        <f>RZiS!J30</f>
        <v>0</v>
      </c>
      <c r="K29" s="429">
        <f>RZiS!K30</f>
        <v>0</v>
      </c>
      <c r="L29" s="429">
        <f>RZiS!L30</f>
        <v>0</v>
      </c>
      <c r="M29" s="429">
        <f>RZiS!M30</f>
        <v>0</v>
      </c>
      <c r="N29" s="429">
        <f>RZiS!N30</f>
        <v>0</v>
      </c>
      <c r="O29" s="429">
        <f>RZiS!O30</f>
        <v>0</v>
      </c>
      <c r="P29" s="429">
        <f>RZiS!P30</f>
        <v>0</v>
      </c>
      <c r="Q29" s="429">
        <f>RZiS!Q30</f>
        <v>0</v>
      </c>
      <c r="R29" s="429" t="str">
        <f>RZiS!R30</f>
        <v>wpisać</v>
      </c>
      <c r="S29" s="429" t="e">
        <f>RZiS!S30</f>
        <v>#DIV/0!</v>
      </c>
      <c r="T29" s="430" t="e">
        <f>RZiS!T30</f>
        <v>#DIV/0!</v>
      </c>
      <c r="U29" s="415"/>
    </row>
    <row r="30" spans="1:21" x14ac:dyDescent="0.25">
      <c r="A30" s="415" t="str">
        <f>RZiS!A31</f>
        <v>III.</v>
      </c>
      <c r="B30" s="428" t="str">
        <f>RZiS!B31</f>
        <v>Inne koszty operacyjne</v>
      </c>
      <c r="C30" s="429">
        <f>RZiS!C31</f>
        <v>0</v>
      </c>
      <c r="D30" s="429">
        <f>RZiS!D31</f>
        <v>0</v>
      </c>
      <c r="E30" s="429" t="e">
        <f>RZiS!E31</f>
        <v>#DIV/0!</v>
      </c>
      <c r="F30" s="429">
        <f>RZiS!F31</f>
        <v>0</v>
      </c>
      <c r="G30" s="429">
        <f>RZiS!G31</f>
        <v>0</v>
      </c>
      <c r="H30" s="429">
        <f>RZiS!H31</f>
        <v>0</v>
      </c>
      <c r="I30" s="429">
        <f>RZiS!I31</f>
        <v>0</v>
      </c>
      <c r="J30" s="429">
        <f>RZiS!J31</f>
        <v>0</v>
      </c>
      <c r="K30" s="429">
        <f>RZiS!K31</f>
        <v>0</v>
      </c>
      <c r="L30" s="429">
        <f>RZiS!L31</f>
        <v>0</v>
      </c>
      <c r="M30" s="429">
        <f>RZiS!M31</f>
        <v>0</v>
      </c>
      <c r="N30" s="429">
        <f>RZiS!N31</f>
        <v>0</v>
      </c>
      <c r="O30" s="429">
        <f>RZiS!O31</f>
        <v>0</v>
      </c>
      <c r="P30" s="429">
        <f>RZiS!P31</f>
        <v>0</v>
      </c>
      <c r="Q30" s="429">
        <f>RZiS!Q31</f>
        <v>0</v>
      </c>
      <c r="R30" s="429" t="str">
        <f>RZiS!R31</f>
        <v>wpisać</v>
      </c>
      <c r="S30" s="429" t="e">
        <f>RZiS!S31</f>
        <v>#DIV/0!</v>
      </c>
      <c r="T30" s="430" t="e">
        <f>RZiS!T31</f>
        <v>#DIV/0!</v>
      </c>
      <c r="U30" s="415"/>
    </row>
    <row r="31" spans="1:21" x14ac:dyDescent="0.25">
      <c r="A31" s="415" t="str">
        <f>RZiS!A32</f>
        <v>F.</v>
      </c>
      <c r="B31" s="421" t="str">
        <f>RZiS!B32</f>
        <v>Zysk (strata) z działalności operacyjnej (C+D-E)</v>
      </c>
      <c r="C31" s="417">
        <f>RZiS!C32</f>
        <v>0</v>
      </c>
      <c r="D31" s="417">
        <f>RZiS!D32</f>
        <v>0</v>
      </c>
      <c r="E31" s="417" t="e">
        <f>RZiS!E32</f>
        <v>#DIV/0!</v>
      </c>
      <c r="F31" s="417">
        <f>RZiS!F32</f>
        <v>0</v>
      </c>
      <c r="G31" s="417">
        <f>RZiS!G32</f>
        <v>0</v>
      </c>
      <c r="H31" s="417">
        <f>RZiS!H32</f>
        <v>0</v>
      </c>
      <c r="I31" s="417">
        <f>RZiS!I32</f>
        <v>0</v>
      </c>
      <c r="J31" s="417">
        <f>RZiS!J32</f>
        <v>0</v>
      </c>
      <c r="K31" s="417">
        <f>RZiS!K32</f>
        <v>0</v>
      </c>
      <c r="L31" s="417">
        <f>RZiS!L32</f>
        <v>0</v>
      </c>
      <c r="M31" s="417">
        <f>RZiS!M32</f>
        <v>0</v>
      </c>
      <c r="N31" s="417">
        <f>RZiS!N32</f>
        <v>0</v>
      </c>
      <c r="O31" s="417">
        <f>RZiS!O32</f>
        <v>0</v>
      </c>
      <c r="P31" s="417">
        <f>RZiS!P32</f>
        <v>0</v>
      </c>
      <c r="Q31" s="417">
        <f>RZiS!Q32</f>
        <v>0</v>
      </c>
      <c r="R31" s="417">
        <f>RZiS!R32</f>
        <v>0</v>
      </c>
      <c r="S31" s="417" t="e">
        <f>RZiS!S32</f>
        <v>#DIV/0!</v>
      </c>
      <c r="T31" s="422" t="e">
        <f>RZiS!T32</f>
        <v>#DIV/0!</v>
      </c>
      <c r="U31" s="415"/>
    </row>
    <row r="32" spans="1:21" x14ac:dyDescent="0.25">
      <c r="A32" s="415" t="str">
        <f>RZiS!A33</f>
        <v>G.</v>
      </c>
      <c r="B32" s="428" t="str">
        <f>RZiS!B33</f>
        <v xml:space="preserve">Przychody finansowe </v>
      </c>
      <c r="C32" s="429">
        <f>RZiS!C33</f>
        <v>0</v>
      </c>
      <c r="D32" s="429">
        <f>RZiS!D33</f>
        <v>0</v>
      </c>
      <c r="E32" s="429" t="e">
        <f>RZiS!E33</f>
        <v>#DIV/0!</v>
      </c>
      <c r="F32" s="429">
        <f>RZiS!F33</f>
        <v>0</v>
      </c>
      <c r="G32" s="429">
        <f>RZiS!G33</f>
        <v>0</v>
      </c>
      <c r="H32" s="429">
        <f>RZiS!H33</f>
        <v>0</v>
      </c>
      <c r="I32" s="429">
        <f>RZiS!I33</f>
        <v>0</v>
      </c>
      <c r="J32" s="429">
        <f>RZiS!J33</f>
        <v>0</v>
      </c>
      <c r="K32" s="429">
        <f>RZiS!K33</f>
        <v>0</v>
      </c>
      <c r="L32" s="429">
        <f>RZiS!L33</f>
        <v>0</v>
      </c>
      <c r="M32" s="429">
        <f>RZiS!M33</f>
        <v>0</v>
      </c>
      <c r="N32" s="429">
        <f>RZiS!N33</f>
        <v>0</v>
      </c>
      <c r="O32" s="429">
        <f>RZiS!O33</f>
        <v>0</v>
      </c>
      <c r="P32" s="429">
        <f>RZiS!P33</f>
        <v>0</v>
      </c>
      <c r="Q32" s="429">
        <f>RZiS!Q33</f>
        <v>0</v>
      </c>
      <c r="R32" s="429" t="str">
        <f>RZiS!R33</f>
        <v>wpisać</v>
      </c>
      <c r="S32" s="429" t="e">
        <f>RZiS!S33</f>
        <v>#DIV/0!</v>
      </c>
      <c r="T32" s="430" t="e">
        <f>RZiS!T33</f>
        <v>#DIV/0!</v>
      </c>
      <c r="U32" s="415"/>
    </row>
    <row r="33" spans="1:21" hidden="1" x14ac:dyDescent="0.25">
      <c r="A33" s="415" t="str">
        <f>RZiS!A34</f>
        <v>I.</v>
      </c>
      <c r="B33" s="428" t="str">
        <f>RZiS!B34</f>
        <v xml:space="preserve">Dywidendy i udziały w zyskach, w tym: </v>
      </c>
      <c r="C33" s="429">
        <f>RZiS!C34</f>
        <v>0</v>
      </c>
      <c r="D33" s="429">
        <f>RZiS!D34</f>
        <v>0</v>
      </c>
      <c r="E33" s="429" t="e">
        <f>RZiS!E34</f>
        <v>#DIV/0!</v>
      </c>
      <c r="F33" s="429">
        <f>RZiS!F34</f>
        <v>0</v>
      </c>
      <c r="G33" s="429">
        <f>RZiS!G34</f>
        <v>0</v>
      </c>
      <c r="H33" s="429">
        <f>RZiS!H34</f>
        <v>0</v>
      </c>
      <c r="I33" s="429">
        <f>RZiS!I34</f>
        <v>0</v>
      </c>
      <c r="J33" s="429">
        <f>RZiS!J34</f>
        <v>0</v>
      </c>
      <c r="K33" s="429">
        <f>RZiS!K34</f>
        <v>0</v>
      </c>
      <c r="L33" s="429">
        <f>RZiS!L34</f>
        <v>0</v>
      </c>
      <c r="M33" s="429">
        <f>RZiS!M34</f>
        <v>0</v>
      </c>
      <c r="N33" s="429">
        <f>RZiS!N34</f>
        <v>0</v>
      </c>
      <c r="O33" s="429">
        <f>RZiS!O34</f>
        <v>0</v>
      </c>
      <c r="P33" s="429">
        <f>RZiS!P34</f>
        <v>0</v>
      </c>
      <c r="Q33" s="429">
        <f>RZiS!Q34</f>
        <v>0</v>
      </c>
      <c r="R33" s="429" t="str">
        <f>RZiS!R34</f>
        <v>wpisać</v>
      </c>
      <c r="S33" s="429" t="e">
        <f>RZiS!S34</f>
        <v>#DIV/0!</v>
      </c>
      <c r="T33" s="430" t="e">
        <f>RZiS!T34</f>
        <v>#DIV/0!</v>
      </c>
      <c r="U33" s="415"/>
    </row>
    <row r="34" spans="1:21" hidden="1" x14ac:dyDescent="0.25">
      <c r="A34" s="415">
        <f>RZiS!A35</f>
        <v>0</v>
      </c>
      <c r="B34" s="428" t="str">
        <f>RZiS!B35</f>
        <v xml:space="preserve"> - od jednostek powiązanych</v>
      </c>
      <c r="C34" s="429">
        <f>RZiS!C35</f>
        <v>0</v>
      </c>
      <c r="D34" s="429">
        <f>RZiS!D35</f>
        <v>0</v>
      </c>
      <c r="E34" s="429" t="e">
        <f>RZiS!E35</f>
        <v>#DIV/0!</v>
      </c>
      <c r="F34" s="429">
        <f>RZiS!F35</f>
        <v>0</v>
      </c>
      <c r="G34" s="429">
        <f>RZiS!G35</f>
        <v>0</v>
      </c>
      <c r="H34" s="429">
        <f>RZiS!H35</f>
        <v>0</v>
      </c>
      <c r="I34" s="429">
        <f>RZiS!I35</f>
        <v>0</v>
      </c>
      <c r="J34" s="429">
        <f>RZiS!J35</f>
        <v>0</v>
      </c>
      <c r="K34" s="429">
        <f>RZiS!K35</f>
        <v>0</v>
      </c>
      <c r="L34" s="429">
        <f>RZiS!L35</f>
        <v>0</v>
      </c>
      <c r="M34" s="429">
        <f>RZiS!M35</f>
        <v>0</v>
      </c>
      <c r="N34" s="429">
        <f>RZiS!N35</f>
        <v>0</v>
      </c>
      <c r="O34" s="429">
        <f>RZiS!O35</f>
        <v>0</v>
      </c>
      <c r="P34" s="429">
        <f>RZiS!P35</f>
        <v>0</v>
      </c>
      <c r="Q34" s="429">
        <f>RZiS!Q35</f>
        <v>0</v>
      </c>
      <c r="R34" s="429" t="str">
        <f>RZiS!R35</f>
        <v>wpisać</v>
      </c>
      <c r="S34" s="429" t="e">
        <f>RZiS!S35</f>
        <v>#DIV/0!</v>
      </c>
      <c r="T34" s="430" t="e">
        <f>RZiS!T35</f>
        <v>#DIV/0!</v>
      </c>
      <c r="U34" s="415"/>
    </row>
    <row r="35" spans="1:21" hidden="1" x14ac:dyDescent="0.25">
      <c r="A35" s="415" t="str">
        <f>RZiS!A36</f>
        <v>II.</v>
      </c>
      <c r="B35" s="428" t="str">
        <f>RZiS!B36</f>
        <v>Odsetki, w tym:</v>
      </c>
      <c r="C35" s="429">
        <f>RZiS!C36</f>
        <v>0</v>
      </c>
      <c r="D35" s="429">
        <f>RZiS!D36</f>
        <v>0</v>
      </c>
      <c r="E35" s="429" t="e">
        <f>RZiS!E36</f>
        <v>#DIV/0!</v>
      </c>
      <c r="F35" s="429">
        <f>RZiS!F36</f>
        <v>0</v>
      </c>
      <c r="G35" s="429">
        <f>RZiS!G36</f>
        <v>0</v>
      </c>
      <c r="H35" s="429">
        <f>RZiS!H36</f>
        <v>0</v>
      </c>
      <c r="I35" s="429">
        <f>RZiS!I36</f>
        <v>0</v>
      </c>
      <c r="J35" s="429">
        <f>RZiS!J36</f>
        <v>0</v>
      </c>
      <c r="K35" s="429">
        <f>RZiS!K36</f>
        <v>0</v>
      </c>
      <c r="L35" s="429">
        <f>RZiS!L36</f>
        <v>0</v>
      </c>
      <c r="M35" s="429">
        <f>RZiS!M36</f>
        <v>0</v>
      </c>
      <c r="N35" s="429">
        <f>RZiS!N36</f>
        <v>0</v>
      </c>
      <c r="O35" s="429">
        <f>RZiS!O36</f>
        <v>0</v>
      </c>
      <c r="P35" s="429">
        <f>RZiS!P36</f>
        <v>0</v>
      </c>
      <c r="Q35" s="429">
        <f>RZiS!Q36</f>
        <v>0</v>
      </c>
      <c r="R35" s="429" t="str">
        <f>RZiS!R36</f>
        <v>wpisać</v>
      </c>
      <c r="S35" s="429" t="e">
        <f>RZiS!S36</f>
        <v>#DIV/0!</v>
      </c>
      <c r="T35" s="430" t="e">
        <f>RZiS!T36</f>
        <v>#DIV/0!</v>
      </c>
      <c r="U35" s="415"/>
    </row>
    <row r="36" spans="1:21" hidden="1" x14ac:dyDescent="0.25">
      <c r="A36" s="415">
        <f>RZiS!A37</f>
        <v>0</v>
      </c>
      <c r="B36" s="428" t="str">
        <f>RZiS!B37</f>
        <v xml:space="preserve"> - od jednostek  powiązanych</v>
      </c>
      <c r="C36" s="429">
        <f>RZiS!C37</f>
        <v>0</v>
      </c>
      <c r="D36" s="429">
        <f>RZiS!D37</f>
        <v>0</v>
      </c>
      <c r="E36" s="429" t="e">
        <f>RZiS!E37</f>
        <v>#DIV/0!</v>
      </c>
      <c r="F36" s="429">
        <f>RZiS!F37</f>
        <v>0</v>
      </c>
      <c r="G36" s="429">
        <f>RZiS!G37</f>
        <v>0</v>
      </c>
      <c r="H36" s="429">
        <f>RZiS!H37</f>
        <v>0</v>
      </c>
      <c r="I36" s="429">
        <f>RZiS!I37</f>
        <v>0</v>
      </c>
      <c r="J36" s="429">
        <f>RZiS!J37</f>
        <v>0</v>
      </c>
      <c r="K36" s="429">
        <f>RZiS!K37</f>
        <v>0</v>
      </c>
      <c r="L36" s="429">
        <f>RZiS!L37</f>
        <v>0</v>
      </c>
      <c r="M36" s="429">
        <f>RZiS!M37</f>
        <v>0</v>
      </c>
      <c r="N36" s="429">
        <f>RZiS!N37</f>
        <v>0</v>
      </c>
      <c r="O36" s="429">
        <f>RZiS!O37</f>
        <v>0</v>
      </c>
      <c r="P36" s="429">
        <f>RZiS!P37</f>
        <v>0</v>
      </c>
      <c r="Q36" s="429">
        <f>RZiS!Q37</f>
        <v>0</v>
      </c>
      <c r="R36" s="429" t="str">
        <f>RZiS!R37</f>
        <v>wpisać</v>
      </c>
      <c r="S36" s="429" t="e">
        <f>RZiS!S37</f>
        <v>#DIV/0!</v>
      </c>
      <c r="T36" s="430" t="e">
        <f>RZiS!T37</f>
        <v>#DIV/0!</v>
      </c>
      <c r="U36" s="415"/>
    </row>
    <row r="37" spans="1:21" hidden="1" x14ac:dyDescent="0.25">
      <c r="A37" s="415" t="str">
        <f>RZiS!A38</f>
        <v>III.</v>
      </c>
      <c r="B37" s="428" t="str">
        <f>RZiS!B38</f>
        <v>Zysk ze zbycia inwestycji</v>
      </c>
      <c r="C37" s="429">
        <f>RZiS!C38</f>
        <v>0</v>
      </c>
      <c r="D37" s="429">
        <f>RZiS!D38</f>
        <v>0</v>
      </c>
      <c r="E37" s="429" t="e">
        <f>RZiS!E38</f>
        <v>#DIV/0!</v>
      </c>
      <c r="F37" s="429">
        <f>RZiS!F38</f>
        <v>0</v>
      </c>
      <c r="G37" s="429">
        <f>RZiS!G38</f>
        <v>0</v>
      </c>
      <c r="H37" s="429">
        <f>RZiS!H38</f>
        <v>0</v>
      </c>
      <c r="I37" s="429">
        <f>RZiS!I38</f>
        <v>0</v>
      </c>
      <c r="J37" s="429">
        <f>RZiS!J38</f>
        <v>0</v>
      </c>
      <c r="K37" s="429">
        <f>RZiS!K38</f>
        <v>0</v>
      </c>
      <c r="L37" s="429">
        <f>RZiS!L38</f>
        <v>0</v>
      </c>
      <c r="M37" s="429">
        <f>RZiS!M38</f>
        <v>0</v>
      </c>
      <c r="N37" s="429">
        <f>RZiS!N38</f>
        <v>0</v>
      </c>
      <c r="O37" s="429">
        <f>RZiS!O38</f>
        <v>0</v>
      </c>
      <c r="P37" s="429">
        <f>RZiS!P38</f>
        <v>0</v>
      </c>
      <c r="Q37" s="429">
        <f>RZiS!Q38</f>
        <v>0</v>
      </c>
      <c r="R37" s="429" t="str">
        <f>RZiS!R38</f>
        <v>wpisać</v>
      </c>
      <c r="S37" s="429" t="e">
        <f>RZiS!S38</f>
        <v>#DIV/0!</v>
      </c>
      <c r="T37" s="430" t="e">
        <f>RZiS!T38</f>
        <v>#DIV/0!</v>
      </c>
      <c r="U37" s="415"/>
    </row>
    <row r="38" spans="1:21" hidden="1" x14ac:dyDescent="0.25">
      <c r="A38" s="415" t="str">
        <f>RZiS!A39</f>
        <v>IV.</v>
      </c>
      <c r="B38" s="428" t="str">
        <f>RZiS!B39</f>
        <v>Aktualizacja wartości inwestycji</v>
      </c>
      <c r="C38" s="429">
        <f>RZiS!C39</f>
        <v>0</v>
      </c>
      <c r="D38" s="429">
        <f>RZiS!D39</f>
        <v>0</v>
      </c>
      <c r="E38" s="429" t="e">
        <f>RZiS!E39</f>
        <v>#DIV/0!</v>
      </c>
      <c r="F38" s="429">
        <f>RZiS!F39</f>
        <v>0</v>
      </c>
      <c r="G38" s="429">
        <f>RZiS!G39</f>
        <v>0</v>
      </c>
      <c r="H38" s="429">
        <f>RZiS!H39</f>
        <v>0</v>
      </c>
      <c r="I38" s="429">
        <f>RZiS!I39</f>
        <v>0</v>
      </c>
      <c r="J38" s="429">
        <f>RZiS!J39</f>
        <v>0</v>
      </c>
      <c r="K38" s="429">
        <f>RZiS!K39</f>
        <v>0</v>
      </c>
      <c r="L38" s="429">
        <f>RZiS!L39</f>
        <v>0</v>
      </c>
      <c r="M38" s="429">
        <f>RZiS!M39</f>
        <v>0</v>
      </c>
      <c r="N38" s="429">
        <f>RZiS!N39</f>
        <v>0</v>
      </c>
      <c r="O38" s="429">
        <f>RZiS!O39</f>
        <v>0</v>
      </c>
      <c r="P38" s="429">
        <f>RZiS!P39</f>
        <v>0</v>
      </c>
      <c r="Q38" s="429">
        <f>RZiS!Q39</f>
        <v>0</v>
      </c>
      <c r="R38" s="429" t="str">
        <f>RZiS!R39</f>
        <v>wpisać</v>
      </c>
      <c r="S38" s="429" t="e">
        <f>RZiS!S39</f>
        <v>#DIV/0!</v>
      </c>
      <c r="T38" s="430" t="e">
        <f>RZiS!T39</f>
        <v>#DIV/0!</v>
      </c>
      <c r="U38" s="415"/>
    </row>
    <row r="39" spans="1:21" hidden="1" x14ac:dyDescent="0.25">
      <c r="A39" s="415" t="str">
        <f>RZiS!A40</f>
        <v>V.</v>
      </c>
      <c r="B39" s="428" t="str">
        <f>RZiS!B40</f>
        <v>Inne</v>
      </c>
      <c r="C39" s="429">
        <f>RZiS!C40</f>
        <v>0</v>
      </c>
      <c r="D39" s="429">
        <f>RZiS!D40</f>
        <v>0</v>
      </c>
      <c r="E39" s="429" t="e">
        <f>RZiS!E40</f>
        <v>#DIV/0!</v>
      </c>
      <c r="F39" s="429">
        <f>RZiS!F40</f>
        <v>0</v>
      </c>
      <c r="G39" s="429">
        <f>RZiS!G40</f>
        <v>0</v>
      </c>
      <c r="H39" s="429">
        <f>RZiS!H40</f>
        <v>0</v>
      </c>
      <c r="I39" s="429">
        <f>RZiS!I40</f>
        <v>0</v>
      </c>
      <c r="J39" s="429">
        <f>RZiS!J40</f>
        <v>0</v>
      </c>
      <c r="K39" s="429">
        <f>RZiS!K40</f>
        <v>0</v>
      </c>
      <c r="L39" s="429">
        <f>RZiS!L40</f>
        <v>0</v>
      </c>
      <c r="M39" s="429">
        <f>RZiS!M40</f>
        <v>0</v>
      </c>
      <c r="N39" s="429">
        <f>RZiS!N40</f>
        <v>0</v>
      </c>
      <c r="O39" s="429">
        <f>RZiS!O40</f>
        <v>0</v>
      </c>
      <c r="P39" s="429">
        <f>RZiS!P40</f>
        <v>0</v>
      </c>
      <c r="Q39" s="429">
        <f>RZiS!Q40</f>
        <v>0</v>
      </c>
      <c r="R39" s="429" t="str">
        <f>RZiS!R40</f>
        <v>wpisać</v>
      </c>
      <c r="S39" s="429" t="e">
        <f>RZiS!S40</f>
        <v>#DIV/0!</v>
      </c>
      <c r="T39" s="430" t="e">
        <f>RZiS!T40</f>
        <v>#DIV/0!</v>
      </c>
      <c r="U39" s="415"/>
    </row>
    <row r="40" spans="1:21" x14ac:dyDescent="0.25">
      <c r="A40" s="415" t="str">
        <f>RZiS!A41</f>
        <v>H.</v>
      </c>
      <c r="B40" s="428" t="str">
        <f>RZiS!B41</f>
        <v>Koszty finansowe</v>
      </c>
      <c r="C40" s="429">
        <f>RZiS!C41</f>
        <v>0</v>
      </c>
      <c r="D40" s="429">
        <f>RZiS!D41</f>
        <v>0</v>
      </c>
      <c r="E40" s="429" t="e">
        <f>RZiS!E41</f>
        <v>#DIV/0!</v>
      </c>
      <c r="F40" s="429">
        <f>RZiS!F41</f>
        <v>0</v>
      </c>
      <c r="G40" s="429">
        <f>RZiS!G41</f>
        <v>0</v>
      </c>
      <c r="H40" s="429">
        <f>RZiS!H41</f>
        <v>0</v>
      </c>
      <c r="I40" s="429">
        <f>RZiS!I41</f>
        <v>0</v>
      </c>
      <c r="J40" s="429">
        <f>RZiS!J41</f>
        <v>0</v>
      </c>
      <c r="K40" s="429">
        <f>RZiS!K41</f>
        <v>0</v>
      </c>
      <c r="L40" s="429">
        <f>RZiS!L41</f>
        <v>0</v>
      </c>
      <c r="M40" s="429">
        <f>RZiS!M41</f>
        <v>0</v>
      </c>
      <c r="N40" s="429">
        <f>RZiS!N41</f>
        <v>0</v>
      </c>
      <c r="O40" s="429">
        <f>RZiS!O41</f>
        <v>0</v>
      </c>
      <c r="P40" s="429">
        <f>RZiS!P41</f>
        <v>0</v>
      </c>
      <c r="Q40" s="429">
        <f>RZiS!Q41</f>
        <v>0</v>
      </c>
      <c r="R40" s="429">
        <f>RZiS!R41</f>
        <v>0</v>
      </c>
      <c r="S40" s="429" t="e">
        <f>RZiS!S41</f>
        <v>#DIV/0!</v>
      </c>
      <c r="T40" s="430" t="e">
        <f>RZiS!T41</f>
        <v>#DIV/0!</v>
      </c>
      <c r="U40" s="415"/>
    </row>
    <row r="41" spans="1:21" x14ac:dyDescent="0.25">
      <c r="A41" s="415" t="str">
        <f>RZiS!A42</f>
        <v>I.</v>
      </c>
      <c r="B41" s="428" t="str">
        <f>RZiS!B42</f>
        <v>Odsetki, w tym:</v>
      </c>
      <c r="C41" s="429">
        <f>RZiS!C42</f>
        <v>0</v>
      </c>
      <c r="D41" s="429">
        <f>RZiS!D42</f>
        <v>0</v>
      </c>
      <c r="E41" s="429" t="e">
        <f>RZiS!E42</f>
        <v>#DIV/0!</v>
      </c>
      <c r="F41" s="429">
        <f>RZiS!F42</f>
        <v>0</v>
      </c>
      <c r="G41" s="429">
        <f>RZiS!G42</f>
        <v>0</v>
      </c>
      <c r="H41" s="429">
        <f>RZiS!H42</f>
        <v>0</v>
      </c>
      <c r="I41" s="429">
        <f>RZiS!I42</f>
        <v>0</v>
      </c>
      <c r="J41" s="429">
        <f>RZiS!J42</f>
        <v>0</v>
      </c>
      <c r="K41" s="429">
        <f>RZiS!K42</f>
        <v>0</v>
      </c>
      <c r="L41" s="429">
        <f>RZiS!L42</f>
        <v>0</v>
      </c>
      <c r="M41" s="429">
        <f>RZiS!M42</f>
        <v>0</v>
      </c>
      <c r="N41" s="429">
        <f>RZiS!N42</f>
        <v>0</v>
      </c>
      <c r="O41" s="429">
        <f>RZiS!O42</f>
        <v>0</v>
      </c>
      <c r="P41" s="429">
        <f>RZiS!P42</f>
        <v>0</v>
      </c>
      <c r="Q41" s="429">
        <f>RZiS!Q42</f>
        <v>0</v>
      </c>
      <c r="R41" s="429">
        <f>RZiS!R42</f>
        <v>0</v>
      </c>
      <c r="S41" s="429" t="e">
        <f>RZiS!S42</f>
        <v>#DIV/0!</v>
      </c>
      <c r="T41" s="430" t="e">
        <f>RZiS!T42</f>
        <v>#DIV/0!</v>
      </c>
      <c r="U41" s="415"/>
    </row>
    <row r="42" spans="1:21" hidden="1" x14ac:dyDescent="0.25">
      <c r="A42" s="415">
        <f>RZiS!A43</f>
        <v>0</v>
      </c>
      <c r="B42" s="428" t="str">
        <f>RZiS!B43</f>
        <v xml:space="preserve"> - od jednostek powiązanych</v>
      </c>
      <c r="C42" s="429">
        <f>RZiS!C43</f>
        <v>0</v>
      </c>
      <c r="D42" s="429">
        <f>RZiS!D43</f>
        <v>0</v>
      </c>
      <c r="E42" s="429" t="e">
        <f>RZiS!E43</f>
        <v>#DIV/0!</v>
      </c>
      <c r="F42" s="429">
        <f>RZiS!F43</f>
        <v>0</v>
      </c>
      <c r="G42" s="429">
        <f>RZiS!G43</f>
        <v>0</v>
      </c>
      <c r="H42" s="429">
        <f>RZiS!H43</f>
        <v>0</v>
      </c>
      <c r="I42" s="429">
        <f>RZiS!I43</f>
        <v>0</v>
      </c>
      <c r="J42" s="429">
        <f>RZiS!J43</f>
        <v>0</v>
      </c>
      <c r="K42" s="429">
        <f>RZiS!K43</f>
        <v>0</v>
      </c>
      <c r="L42" s="429">
        <f>RZiS!L43</f>
        <v>0</v>
      </c>
      <c r="M42" s="429">
        <f>RZiS!M43</f>
        <v>0</v>
      </c>
      <c r="N42" s="429">
        <f>RZiS!N43</f>
        <v>0</v>
      </c>
      <c r="O42" s="429">
        <f>RZiS!O43</f>
        <v>0</v>
      </c>
      <c r="P42" s="429">
        <f>RZiS!P43</f>
        <v>0</v>
      </c>
      <c r="Q42" s="429">
        <f>RZiS!Q43</f>
        <v>0</v>
      </c>
      <c r="R42" s="429">
        <f>RZiS!R43</f>
        <v>0</v>
      </c>
      <c r="S42" s="429" t="e">
        <f>RZiS!S43</f>
        <v>#DIV/0!</v>
      </c>
      <c r="T42" s="430" t="e">
        <f>RZiS!T43</f>
        <v>#DIV/0!</v>
      </c>
      <c r="U42" s="415"/>
    </row>
    <row r="43" spans="1:21" x14ac:dyDescent="0.25">
      <c r="A43" s="415">
        <f>RZiS!A44</f>
        <v>0</v>
      </c>
      <c r="B43" s="428" t="str">
        <f>RZiS!B44</f>
        <v xml:space="preserve">  -  pożyczka JEREMIE 2</v>
      </c>
      <c r="C43" s="429">
        <f>RZiS!C44</f>
        <v>0</v>
      </c>
      <c r="D43" s="429">
        <f>RZiS!D44</f>
        <v>0</v>
      </c>
      <c r="E43" s="429" t="e">
        <f>RZiS!E44</f>
        <v>#DIV/0!</v>
      </c>
      <c r="F43" s="429">
        <f>RZiS!F44</f>
        <v>0</v>
      </c>
      <c r="G43" s="429">
        <f>RZiS!G44</f>
        <v>0</v>
      </c>
      <c r="H43" s="429">
        <f>RZiS!H44</f>
        <v>0</v>
      </c>
      <c r="I43" s="429">
        <f>RZiS!I44</f>
        <v>0</v>
      </c>
      <c r="J43" s="429">
        <f>RZiS!J44</f>
        <v>0</v>
      </c>
      <c r="K43" s="429">
        <f>RZiS!K44</f>
        <v>0</v>
      </c>
      <c r="L43" s="429">
        <f>RZiS!L44</f>
        <v>0</v>
      </c>
      <c r="M43" s="429">
        <f>RZiS!M44</f>
        <v>0</v>
      </c>
      <c r="N43" s="429">
        <f>RZiS!N44</f>
        <v>0</v>
      </c>
      <c r="O43" s="429">
        <f>RZiS!O44</f>
        <v>0</v>
      </c>
      <c r="P43" s="429">
        <f>RZiS!P44</f>
        <v>0</v>
      </c>
      <c r="Q43" s="429">
        <f>RZiS!Q44</f>
        <v>0</v>
      </c>
      <c r="R43" s="429">
        <f>RZiS!R44</f>
        <v>0</v>
      </c>
      <c r="S43" s="429" t="e">
        <f>RZiS!S44</f>
        <v>#DIV/0!</v>
      </c>
      <c r="T43" s="430" t="e">
        <f>RZiS!T44</f>
        <v>#DIV/0!</v>
      </c>
      <c r="U43" s="415"/>
    </row>
    <row r="44" spans="1:21" x14ac:dyDescent="0.25">
      <c r="A44" s="415">
        <f>RZiS!A45</f>
        <v>0</v>
      </c>
      <c r="B44" s="428" t="str">
        <f>RZiS!B45</f>
        <v xml:space="preserve">  - wszystkie inne pożyczki lub kredyty i leasing finansowy </v>
      </c>
      <c r="C44" s="429">
        <f>RZiS!C45</f>
        <v>0</v>
      </c>
      <c r="D44" s="429">
        <f>RZiS!D45</f>
        <v>0</v>
      </c>
      <c r="E44" s="429" t="e">
        <f>RZiS!E45</f>
        <v>#DIV/0!</v>
      </c>
      <c r="F44" s="429">
        <f>RZiS!F45</f>
        <v>0</v>
      </c>
      <c r="G44" s="429">
        <f>RZiS!G45</f>
        <v>0</v>
      </c>
      <c r="H44" s="429">
        <f>RZiS!H45</f>
        <v>0</v>
      </c>
      <c r="I44" s="429">
        <f>RZiS!I45</f>
        <v>0</v>
      </c>
      <c r="J44" s="429">
        <f>RZiS!J45</f>
        <v>0</v>
      </c>
      <c r="K44" s="429">
        <f>RZiS!K45</f>
        <v>0</v>
      </c>
      <c r="L44" s="429">
        <f>RZiS!L45</f>
        <v>0</v>
      </c>
      <c r="M44" s="429">
        <f>RZiS!M45</f>
        <v>0</v>
      </c>
      <c r="N44" s="429">
        <f>RZiS!N45</f>
        <v>0</v>
      </c>
      <c r="O44" s="429">
        <f>RZiS!O45</f>
        <v>0</v>
      </c>
      <c r="P44" s="429">
        <f>RZiS!P45</f>
        <v>0</v>
      </c>
      <c r="Q44" s="429">
        <f>RZiS!Q45</f>
        <v>0</v>
      </c>
      <c r="R44" s="429" t="str">
        <f>RZiS!R45</f>
        <v>wpisać</v>
      </c>
      <c r="S44" s="429" t="e">
        <f>RZiS!S45</f>
        <v>#DIV/0!</v>
      </c>
      <c r="T44" s="430" t="e">
        <f>RZiS!T45</f>
        <v>#DIV/0!</v>
      </c>
      <c r="U44" s="415"/>
    </row>
    <row r="45" spans="1:21" hidden="1" x14ac:dyDescent="0.25">
      <c r="A45" s="415" t="str">
        <f>RZiS!A46</f>
        <v>II.</v>
      </c>
      <c r="B45" s="428" t="str">
        <f>RZiS!B46</f>
        <v>Strata ze zbycia inwestycji</v>
      </c>
      <c r="C45" s="429">
        <f>RZiS!C46</f>
        <v>0</v>
      </c>
      <c r="D45" s="429">
        <f>RZiS!D46</f>
        <v>0</v>
      </c>
      <c r="E45" s="429" t="e">
        <f>RZiS!E46</f>
        <v>#DIV/0!</v>
      </c>
      <c r="F45" s="429">
        <f>RZiS!F46</f>
        <v>0</v>
      </c>
      <c r="G45" s="429">
        <f>RZiS!G46</f>
        <v>0</v>
      </c>
      <c r="H45" s="429">
        <f>RZiS!H46</f>
        <v>0</v>
      </c>
      <c r="I45" s="429">
        <f>RZiS!I46</f>
        <v>0</v>
      </c>
      <c r="J45" s="429">
        <f>RZiS!J46</f>
        <v>0</v>
      </c>
      <c r="K45" s="429">
        <f>RZiS!K46</f>
        <v>0</v>
      </c>
      <c r="L45" s="429">
        <f>RZiS!L46</f>
        <v>0</v>
      </c>
      <c r="M45" s="429">
        <f>RZiS!M46</f>
        <v>0</v>
      </c>
      <c r="N45" s="429">
        <f>RZiS!N46</f>
        <v>0</v>
      </c>
      <c r="O45" s="429">
        <f>RZiS!O46</f>
        <v>0</v>
      </c>
      <c r="P45" s="429">
        <f>RZiS!P46</f>
        <v>0</v>
      </c>
      <c r="Q45" s="429">
        <f>RZiS!Q46</f>
        <v>0</v>
      </c>
      <c r="R45" s="429" t="str">
        <f>RZiS!R46</f>
        <v>wpisać</v>
      </c>
      <c r="S45" s="429" t="e">
        <f>RZiS!S46</f>
        <v>#DIV/0!</v>
      </c>
      <c r="T45" s="430" t="e">
        <f>RZiS!T46</f>
        <v>#DIV/0!</v>
      </c>
      <c r="U45" s="415"/>
    </row>
    <row r="46" spans="1:21" hidden="1" x14ac:dyDescent="0.25">
      <c r="A46" s="415" t="str">
        <f>RZiS!A47</f>
        <v>III.</v>
      </c>
      <c r="B46" s="428" t="str">
        <f>RZiS!B47</f>
        <v>Aktualizacja wartości inwestycji</v>
      </c>
      <c r="C46" s="429">
        <f>RZiS!C47</f>
        <v>0</v>
      </c>
      <c r="D46" s="429">
        <f>RZiS!D47</f>
        <v>0</v>
      </c>
      <c r="E46" s="429" t="e">
        <f>RZiS!E47</f>
        <v>#DIV/0!</v>
      </c>
      <c r="F46" s="429">
        <f>RZiS!F47</f>
        <v>0</v>
      </c>
      <c r="G46" s="429">
        <f>RZiS!G47</f>
        <v>0</v>
      </c>
      <c r="H46" s="429">
        <f>RZiS!H47</f>
        <v>0</v>
      </c>
      <c r="I46" s="429">
        <f>RZiS!I47</f>
        <v>0</v>
      </c>
      <c r="J46" s="429">
        <f>RZiS!J47</f>
        <v>0</v>
      </c>
      <c r="K46" s="429">
        <f>RZiS!K47</f>
        <v>0</v>
      </c>
      <c r="L46" s="429">
        <f>RZiS!L47</f>
        <v>0</v>
      </c>
      <c r="M46" s="429">
        <f>RZiS!M47</f>
        <v>0</v>
      </c>
      <c r="N46" s="429">
        <f>RZiS!N47</f>
        <v>0</v>
      </c>
      <c r="O46" s="429">
        <f>RZiS!O47</f>
        <v>0</v>
      </c>
      <c r="P46" s="429">
        <f>RZiS!P47</f>
        <v>0</v>
      </c>
      <c r="Q46" s="429">
        <f>RZiS!Q47</f>
        <v>0</v>
      </c>
      <c r="R46" s="429" t="str">
        <f>RZiS!R47</f>
        <v>wpisać</v>
      </c>
      <c r="S46" s="429" t="e">
        <f>RZiS!S47</f>
        <v>#DIV/0!</v>
      </c>
      <c r="T46" s="430" t="e">
        <f>RZiS!T47</f>
        <v>#DIV/0!</v>
      </c>
      <c r="U46" s="415"/>
    </row>
    <row r="47" spans="1:21" x14ac:dyDescent="0.25">
      <c r="A47" s="415" t="str">
        <f>RZiS!A48</f>
        <v>IV.</v>
      </c>
      <c r="B47" s="428" t="str">
        <f>RZiS!B48</f>
        <v>Inne</v>
      </c>
      <c r="C47" s="429">
        <f>RZiS!C48</f>
        <v>0</v>
      </c>
      <c r="D47" s="429">
        <f>RZiS!D48</f>
        <v>0</v>
      </c>
      <c r="E47" s="429" t="e">
        <f>RZiS!E48</f>
        <v>#DIV/0!</v>
      </c>
      <c r="F47" s="429">
        <f>RZiS!F48</f>
        <v>0</v>
      </c>
      <c r="G47" s="429">
        <f>RZiS!G48</f>
        <v>0</v>
      </c>
      <c r="H47" s="429">
        <f>RZiS!H48</f>
        <v>0</v>
      </c>
      <c r="I47" s="429">
        <f>RZiS!I48</f>
        <v>0</v>
      </c>
      <c r="J47" s="429">
        <f>RZiS!J48</f>
        <v>0</v>
      </c>
      <c r="K47" s="429">
        <f>RZiS!K48</f>
        <v>0</v>
      </c>
      <c r="L47" s="429">
        <f>RZiS!L48</f>
        <v>0</v>
      </c>
      <c r="M47" s="429">
        <f>RZiS!M48</f>
        <v>0</v>
      </c>
      <c r="N47" s="429">
        <f>RZiS!N48</f>
        <v>0</v>
      </c>
      <c r="O47" s="429">
        <f>RZiS!O48</f>
        <v>0</v>
      </c>
      <c r="P47" s="429">
        <f>RZiS!P48</f>
        <v>0</v>
      </c>
      <c r="Q47" s="429">
        <f>RZiS!Q48</f>
        <v>0</v>
      </c>
      <c r="R47" s="429" t="str">
        <f>RZiS!R48</f>
        <v>wpisać</v>
      </c>
      <c r="S47" s="429" t="e">
        <f>RZiS!S48</f>
        <v>#DIV/0!</v>
      </c>
      <c r="T47" s="430" t="e">
        <f>RZiS!T48</f>
        <v>#DIV/0!</v>
      </c>
      <c r="U47" s="415"/>
    </row>
    <row r="48" spans="1:21" x14ac:dyDescent="0.25">
      <c r="A48" s="415" t="str">
        <f>RZiS!A49</f>
        <v>I.</v>
      </c>
      <c r="B48" s="421" t="str">
        <f>RZiS!B49</f>
        <v>Zysk (strata) z działalności gospodarczej (F+G-H)</v>
      </c>
      <c r="C48" s="417">
        <f>RZiS!C49</f>
        <v>0</v>
      </c>
      <c r="D48" s="417">
        <f>RZiS!D49</f>
        <v>0</v>
      </c>
      <c r="E48" s="417" t="e">
        <f>RZiS!E49</f>
        <v>#DIV/0!</v>
      </c>
      <c r="F48" s="417">
        <f>RZiS!F49</f>
        <v>0</v>
      </c>
      <c r="G48" s="417">
        <f>RZiS!G49</f>
        <v>0</v>
      </c>
      <c r="H48" s="417">
        <f>RZiS!H49</f>
        <v>0</v>
      </c>
      <c r="I48" s="417">
        <f>RZiS!I49</f>
        <v>0</v>
      </c>
      <c r="J48" s="417">
        <f>RZiS!J49</f>
        <v>0</v>
      </c>
      <c r="K48" s="417">
        <f>RZiS!K49</f>
        <v>0</v>
      </c>
      <c r="L48" s="417">
        <f>RZiS!L49</f>
        <v>0</v>
      </c>
      <c r="M48" s="417">
        <f>RZiS!M49</f>
        <v>0</v>
      </c>
      <c r="N48" s="417">
        <f>RZiS!N49</f>
        <v>0</v>
      </c>
      <c r="O48" s="417">
        <f>RZiS!O49</f>
        <v>0</v>
      </c>
      <c r="P48" s="417">
        <f>RZiS!P49</f>
        <v>0</v>
      </c>
      <c r="Q48" s="417">
        <f>RZiS!Q49</f>
        <v>0</v>
      </c>
      <c r="R48" s="417">
        <f>RZiS!R49</f>
        <v>0</v>
      </c>
      <c r="S48" s="417" t="e">
        <f>RZiS!S49</f>
        <v>#DIV/0!</v>
      </c>
      <c r="T48" s="422" t="e">
        <f>RZiS!T49</f>
        <v>#DIV/0!</v>
      </c>
      <c r="U48" s="415"/>
    </row>
    <row r="49" spans="1:21" x14ac:dyDescent="0.25">
      <c r="A49" s="415" t="str">
        <f>RZiS!A50</f>
        <v>J.</v>
      </c>
      <c r="B49" s="428" t="str">
        <f>RZiS!B50</f>
        <v>Wynik zdarzeń nadzwyczajnych (J.I.-J.II.)</v>
      </c>
      <c r="C49" s="429">
        <f>RZiS!C50</f>
        <v>0</v>
      </c>
      <c r="D49" s="429">
        <f>RZiS!D50</f>
        <v>0</v>
      </c>
      <c r="E49" s="429" t="e">
        <f>RZiS!E50</f>
        <v>#DIV/0!</v>
      </c>
      <c r="F49" s="429">
        <f>RZiS!F50</f>
        <v>0</v>
      </c>
      <c r="G49" s="429">
        <f>RZiS!G50</f>
        <v>0</v>
      </c>
      <c r="H49" s="429">
        <f>RZiS!H50</f>
        <v>0</v>
      </c>
      <c r="I49" s="429">
        <f>RZiS!I50</f>
        <v>0</v>
      </c>
      <c r="J49" s="429">
        <f>RZiS!J50</f>
        <v>0</v>
      </c>
      <c r="K49" s="429">
        <f>RZiS!K50</f>
        <v>0</v>
      </c>
      <c r="L49" s="429">
        <f>RZiS!L50</f>
        <v>0</v>
      </c>
      <c r="M49" s="429">
        <f>RZiS!M50</f>
        <v>0</v>
      </c>
      <c r="N49" s="429">
        <f>RZiS!N50</f>
        <v>0</v>
      </c>
      <c r="O49" s="429">
        <f>RZiS!O50</f>
        <v>0</v>
      </c>
      <c r="P49" s="429">
        <f>RZiS!P50</f>
        <v>0</v>
      </c>
      <c r="Q49" s="429">
        <f>RZiS!Q50</f>
        <v>0</v>
      </c>
      <c r="R49" s="429">
        <f>RZiS!R50</f>
        <v>0</v>
      </c>
      <c r="S49" s="429" t="e">
        <f>RZiS!S50</f>
        <v>#DIV/0!</v>
      </c>
      <c r="T49" s="430" t="e">
        <f>RZiS!T50</f>
        <v>#DIV/0!</v>
      </c>
      <c r="U49" s="415"/>
    </row>
    <row r="50" spans="1:21" x14ac:dyDescent="0.25">
      <c r="A50" s="415" t="str">
        <f>RZiS!A51</f>
        <v>I.</v>
      </c>
      <c r="B50" s="428" t="str">
        <f>RZiS!B51</f>
        <v>Zyski nadzwyczajne</v>
      </c>
      <c r="C50" s="429">
        <f>RZiS!C51</f>
        <v>0</v>
      </c>
      <c r="D50" s="429">
        <f>RZiS!D51</f>
        <v>0</v>
      </c>
      <c r="E50" s="429" t="e">
        <f>RZiS!E51</f>
        <v>#DIV/0!</v>
      </c>
      <c r="F50" s="429">
        <f>RZiS!F51</f>
        <v>0</v>
      </c>
      <c r="G50" s="429">
        <f>RZiS!G51</f>
        <v>0</v>
      </c>
      <c r="H50" s="429">
        <f>RZiS!H51</f>
        <v>0</v>
      </c>
      <c r="I50" s="429">
        <f>RZiS!I51</f>
        <v>0</v>
      </c>
      <c r="J50" s="429">
        <f>RZiS!J51</f>
        <v>0</v>
      </c>
      <c r="K50" s="429">
        <f>RZiS!K51</f>
        <v>0</v>
      </c>
      <c r="L50" s="429">
        <f>RZiS!L51</f>
        <v>0</v>
      </c>
      <c r="M50" s="429">
        <f>RZiS!M51</f>
        <v>0</v>
      </c>
      <c r="N50" s="429">
        <f>RZiS!N51</f>
        <v>0</v>
      </c>
      <c r="O50" s="429">
        <f>RZiS!O51</f>
        <v>0</v>
      </c>
      <c r="P50" s="429">
        <f>RZiS!P51</f>
        <v>0</v>
      </c>
      <c r="Q50" s="429">
        <f>RZiS!Q51</f>
        <v>0</v>
      </c>
      <c r="R50" s="429" t="str">
        <f>RZiS!R51</f>
        <v>wpisać</v>
      </c>
      <c r="S50" s="429" t="e">
        <f>RZiS!S51</f>
        <v>#DIV/0!</v>
      </c>
      <c r="T50" s="430" t="e">
        <f>RZiS!T51</f>
        <v>#DIV/0!</v>
      </c>
      <c r="U50" s="415"/>
    </row>
    <row r="51" spans="1:21" x14ac:dyDescent="0.25">
      <c r="A51" s="415" t="str">
        <f>RZiS!A52</f>
        <v>II.</v>
      </c>
      <c r="B51" s="428" t="str">
        <f>RZiS!B52</f>
        <v>Straty nadzwyczajne</v>
      </c>
      <c r="C51" s="429">
        <f>RZiS!C52</f>
        <v>0</v>
      </c>
      <c r="D51" s="429">
        <f>RZiS!D52</f>
        <v>0</v>
      </c>
      <c r="E51" s="429" t="e">
        <f>RZiS!E52</f>
        <v>#DIV/0!</v>
      </c>
      <c r="F51" s="429">
        <f>RZiS!F52</f>
        <v>0</v>
      </c>
      <c r="G51" s="429">
        <f>RZiS!G52</f>
        <v>0</v>
      </c>
      <c r="H51" s="429">
        <f>RZiS!H52</f>
        <v>0</v>
      </c>
      <c r="I51" s="429">
        <f>RZiS!I52</f>
        <v>0</v>
      </c>
      <c r="J51" s="429">
        <f>RZiS!J52</f>
        <v>0</v>
      </c>
      <c r="K51" s="429">
        <f>RZiS!K52</f>
        <v>0</v>
      </c>
      <c r="L51" s="429">
        <f>RZiS!L52</f>
        <v>0</v>
      </c>
      <c r="M51" s="429">
        <f>RZiS!M52</f>
        <v>0</v>
      </c>
      <c r="N51" s="429">
        <f>RZiS!N52</f>
        <v>0</v>
      </c>
      <c r="O51" s="429">
        <f>RZiS!O52</f>
        <v>0</v>
      </c>
      <c r="P51" s="429">
        <f>RZiS!P52</f>
        <v>0</v>
      </c>
      <c r="Q51" s="429">
        <f>RZiS!Q52</f>
        <v>0</v>
      </c>
      <c r="R51" s="429" t="str">
        <f>RZiS!R52</f>
        <v>wpisać</v>
      </c>
      <c r="S51" s="429" t="e">
        <f>RZiS!S52</f>
        <v>#DIV/0!</v>
      </c>
      <c r="T51" s="430" t="e">
        <f>RZiS!T52</f>
        <v>#DIV/0!</v>
      </c>
      <c r="U51" s="415"/>
    </row>
    <row r="52" spans="1:21" x14ac:dyDescent="0.25">
      <c r="A52" s="415" t="str">
        <f>RZiS!A53</f>
        <v>K.</v>
      </c>
      <c r="B52" s="421" t="str">
        <f>RZiS!B53</f>
        <v>Zysk (strata) brutto (I+/- J)</v>
      </c>
      <c r="C52" s="417">
        <f>RZiS!C53</f>
        <v>0</v>
      </c>
      <c r="D52" s="417">
        <f>RZiS!D53</f>
        <v>0</v>
      </c>
      <c r="E52" s="417" t="e">
        <f>RZiS!E53</f>
        <v>#DIV/0!</v>
      </c>
      <c r="F52" s="417">
        <f>RZiS!F53</f>
        <v>0</v>
      </c>
      <c r="G52" s="417">
        <f>RZiS!G53</f>
        <v>0</v>
      </c>
      <c r="H52" s="417">
        <f>RZiS!H53</f>
        <v>0</v>
      </c>
      <c r="I52" s="417">
        <f>RZiS!I53</f>
        <v>0</v>
      </c>
      <c r="J52" s="417">
        <f>RZiS!J53</f>
        <v>0</v>
      </c>
      <c r="K52" s="417">
        <f>RZiS!K53</f>
        <v>0</v>
      </c>
      <c r="L52" s="417">
        <f>RZiS!L53</f>
        <v>0</v>
      </c>
      <c r="M52" s="417">
        <f>RZiS!M53</f>
        <v>0</v>
      </c>
      <c r="N52" s="417">
        <f>RZiS!N53</f>
        <v>0</v>
      </c>
      <c r="O52" s="417">
        <f>RZiS!O53</f>
        <v>0</v>
      </c>
      <c r="P52" s="417">
        <f>RZiS!P53</f>
        <v>0</v>
      </c>
      <c r="Q52" s="417">
        <f>RZiS!Q53</f>
        <v>0</v>
      </c>
      <c r="R52" s="417">
        <f>RZiS!R53</f>
        <v>0</v>
      </c>
      <c r="S52" s="417" t="e">
        <f>RZiS!S53</f>
        <v>#DIV/0!</v>
      </c>
      <c r="T52" s="422" t="e">
        <f>RZiS!T53</f>
        <v>#DIV/0!</v>
      </c>
      <c r="U52" s="415"/>
    </row>
    <row r="53" spans="1:21" x14ac:dyDescent="0.25">
      <c r="A53" s="415" t="str">
        <f>RZiS!A54</f>
        <v>L.</v>
      </c>
      <c r="B53" s="428" t="str">
        <f>RZiS!B54</f>
        <v>Podatek dochodowy</v>
      </c>
      <c r="C53" s="429">
        <f>RZiS!C54</f>
        <v>0</v>
      </c>
      <c r="D53" s="429">
        <f>RZiS!D54</f>
        <v>0</v>
      </c>
      <c r="E53" s="429" t="e">
        <f>RZiS!E54</f>
        <v>#DIV/0!</v>
      </c>
      <c r="F53" s="429">
        <f>RZiS!F54</f>
        <v>0</v>
      </c>
      <c r="G53" s="429">
        <f>RZiS!G54</f>
        <v>0</v>
      </c>
      <c r="H53" s="429">
        <f>RZiS!H54</f>
        <v>0</v>
      </c>
      <c r="I53" s="429">
        <f>RZiS!I54</f>
        <v>0</v>
      </c>
      <c r="J53" s="429">
        <f>RZiS!J54</f>
        <v>0</v>
      </c>
      <c r="K53" s="429">
        <f>RZiS!K54</f>
        <v>0</v>
      </c>
      <c r="L53" s="429">
        <f>RZiS!L54</f>
        <v>0</v>
      </c>
      <c r="M53" s="429">
        <f>RZiS!M54</f>
        <v>0</v>
      </c>
      <c r="N53" s="429">
        <f>RZiS!N54</f>
        <v>0</v>
      </c>
      <c r="O53" s="429">
        <f>RZiS!O54</f>
        <v>0</v>
      </c>
      <c r="P53" s="429">
        <f>RZiS!P54</f>
        <v>0</v>
      </c>
      <c r="Q53" s="429">
        <f>RZiS!Q54</f>
        <v>0</v>
      </c>
      <c r="R53" s="429" t="str">
        <f>RZiS!R54</f>
        <v>wpisać</v>
      </c>
      <c r="S53" s="429" t="e">
        <f>RZiS!S54</f>
        <v>#DIV/0!</v>
      </c>
      <c r="T53" s="430" t="e">
        <f>RZiS!T54</f>
        <v>#DIV/0!</v>
      </c>
      <c r="U53" s="415"/>
    </row>
    <row r="54" spans="1:21" x14ac:dyDescent="0.25">
      <c r="A54" s="415" t="str">
        <f>RZiS!A55</f>
        <v>M.</v>
      </c>
      <c r="B54" s="428" t="str">
        <f>RZiS!B55</f>
        <v>Pozostałe obowiązkowe zmniejszenia zysku (zwiększenia straty)</v>
      </c>
      <c r="C54" s="429">
        <f>RZiS!C55</f>
        <v>0</v>
      </c>
      <c r="D54" s="429">
        <f>RZiS!D55</f>
        <v>0</v>
      </c>
      <c r="E54" s="429" t="e">
        <f>RZiS!E55</f>
        <v>#DIV/0!</v>
      </c>
      <c r="F54" s="429">
        <f>RZiS!F55</f>
        <v>0</v>
      </c>
      <c r="G54" s="429">
        <f>RZiS!G55</f>
        <v>0</v>
      </c>
      <c r="H54" s="429">
        <f>RZiS!H55</f>
        <v>0</v>
      </c>
      <c r="I54" s="429">
        <f>RZiS!I55</f>
        <v>0</v>
      </c>
      <c r="J54" s="429">
        <f>RZiS!J55</f>
        <v>0</v>
      </c>
      <c r="K54" s="429">
        <f>RZiS!K55</f>
        <v>0</v>
      </c>
      <c r="L54" s="429">
        <f>RZiS!L55</f>
        <v>0</v>
      </c>
      <c r="M54" s="429">
        <f>RZiS!M55</f>
        <v>0</v>
      </c>
      <c r="N54" s="429">
        <f>RZiS!N55</f>
        <v>0</v>
      </c>
      <c r="O54" s="429">
        <f>RZiS!O55</f>
        <v>0</v>
      </c>
      <c r="P54" s="429">
        <f>RZiS!P55</f>
        <v>0</v>
      </c>
      <c r="Q54" s="429">
        <f>RZiS!Q55</f>
        <v>0</v>
      </c>
      <c r="R54" s="429" t="str">
        <f>RZiS!R55</f>
        <v>wpisać</v>
      </c>
      <c r="S54" s="429" t="e">
        <f>RZiS!S55</f>
        <v>#DIV/0!</v>
      </c>
      <c r="T54" s="430" t="e">
        <f>RZiS!T55</f>
        <v>#DIV/0!</v>
      </c>
      <c r="U54" s="415"/>
    </row>
    <row r="55" spans="1:21" ht="15.75" thickBot="1" x14ac:dyDescent="0.3">
      <c r="A55" s="415" t="str">
        <f>RZiS!A56</f>
        <v>N.</v>
      </c>
      <c r="B55" s="425" t="str">
        <f>RZiS!B56</f>
        <v>Zysk (strata) netto (K-L-M)</v>
      </c>
      <c r="C55" s="426">
        <f>RZiS!C56</f>
        <v>0</v>
      </c>
      <c r="D55" s="426">
        <f>RZiS!D56</f>
        <v>0</v>
      </c>
      <c r="E55" s="426" t="e">
        <f>RZiS!E56</f>
        <v>#DIV/0!</v>
      </c>
      <c r="F55" s="426">
        <f>RZiS!F56</f>
        <v>0</v>
      </c>
      <c r="G55" s="426">
        <f>RZiS!G56</f>
        <v>0</v>
      </c>
      <c r="H55" s="426">
        <f>RZiS!H56</f>
        <v>0</v>
      </c>
      <c r="I55" s="426">
        <f>RZiS!I56</f>
        <v>0</v>
      </c>
      <c r="J55" s="426">
        <f>RZiS!J56</f>
        <v>0</v>
      </c>
      <c r="K55" s="426">
        <f>RZiS!K56</f>
        <v>0</v>
      </c>
      <c r="L55" s="426">
        <f>RZiS!L56</f>
        <v>0</v>
      </c>
      <c r="M55" s="426">
        <f>RZiS!M56</f>
        <v>0</v>
      </c>
      <c r="N55" s="426">
        <f>RZiS!N56</f>
        <v>0</v>
      </c>
      <c r="O55" s="426">
        <f>RZiS!O56</f>
        <v>0</v>
      </c>
      <c r="P55" s="426">
        <f>RZiS!P56</f>
        <v>0</v>
      </c>
      <c r="Q55" s="426">
        <f>RZiS!Q56</f>
        <v>0</v>
      </c>
      <c r="R55" s="426">
        <f>RZiS!R56</f>
        <v>0</v>
      </c>
      <c r="S55" s="426" t="e">
        <f>RZiS!S56</f>
        <v>#DIV/0!</v>
      </c>
      <c r="T55" s="427" t="e">
        <f>RZiS!T56</f>
        <v>#DIV/0!</v>
      </c>
      <c r="U55" s="415"/>
    </row>
    <row r="56" spans="1:21" x14ac:dyDescent="0.25">
      <c r="A56" s="415">
        <f>RZiS!A57</f>
        <v>0</v>
      </c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5"/>
      <c r="U56" s="415"/>
    </row>
    <row r="57" spans="1:21" x14ac:dyDescent="0.25">
      <c r="A57" s="415">
        <f>RZiS!A58</f>
        <v>0</v>
      </c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</row>
    <row r="58" spans="1:21" x14ac:dyDescent="0.25">
      <c r="A58" s="415">
        <f>RZiS!A59</f>
        <v>0</v>
      </c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</row>
    <row r="59" spans="1:21" x14ac:dyDescent="0.25">
      <c r="A59" s="415">
        <f>RZiS!A60</f>
        <v>0</v>
      </c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</row>
    <row r="60" spans="1:21" x14ac:dyDescent="0.25">
      <c r="A60" s="415">
        <f>RZiS!A61</f>
        <v>0</v>
      </c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  <c r="U60" s="415"/>
    </row>
    <row r="61" spans="1:21" x14ac:dyDescent="0.25">
      <c r="A61" s="415">
        <f>RZiS!A62</f>
        <v>0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</row>
    <row r="62" spans="1:21" x14ac:dyDescent="0.25">
      <c r="A62" s="415">
        <f>RZiS!A63</f>
        <v>0</v>
      </c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</row>
    <row r="63" spans="1:21" x14ac:dyDescent="0.25">
      <c r="A63" s="415">
        <f>RZiS!A64</f>
        <v>0</v>
      </c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  <c r="U63" s="415"/>
    </row>
    <row r="64" spans="1:21" x14ac:dyDescent="0.25">
      <c r="A64" s="415">
        <f>RZiS!A65</f>
        <v>0</v>
      </c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</row>
    <row r="65" spans="1:21" x14ac:dyDescent="0.25">
      <c r="A65" s="415">
        <f>RZiS!A66</f>
        <v>0</v>
      </c>
      <c r="B65" s="415"/>
      <c r="C65" s="415"/>
      <c r="D65" s="415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415"/>
      <c r="R65" s="415"/>
      <c r="S65" s="415"/>
      <c r="T65" s="415"/>
      <c r="U65" s="415"/>
    </row>
  </sheetData>
  <sheetProtection algorithmName="SHA-512" hashValue="lym1Cb6cghfsqaAcqAQlLpvMcHP6U6bcYUeNQhxuKHpbkvMpw4bqqG+bjeWreIFcBrNn5ngSJ4PtZeki8i9E1A==" saltValue="GfrV7SSUqDXzFUZjydeKbA==" spinCount="100000"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1"/>
  <sheetViews>
    <sheetView showGridLines="0" zoomScale="86" zoomScaleNormal="86" zoomScaleSheetLayoutView="100" workbookViewId="0">
      <selection activeCell="F26" sqref="F26"/>
    </sheetView>
  </sheetViews>
  <sheetFormatPr defaultColWidth="9.140625" defaultRowHeight="15" outlineLevelCol="2" x14ac:dyDescent="0.25"/>
  <cols>
    <col min="1" max="1" width="3.140625" style="41" customWidth="1"/>
    <col min="2" max="2" width="50.5703125" style="41" customWidth="1"/>
    <col min="3" max="4" width="10.7109375" style="41" customWidth="1"/>
    <col min="5" max="5" width="9.7109375" style="41" customWidth="1"/>
    <col min="6" max="8" width="10.28515625" style="41" customWidth="1" outlineLevel="1"/>
    <col min="9" max="13" width="9.140625" style="41" hidden="1" customWidth="1" outlineLevel="2"/>
    <col min="14" max="14" width="7.140625" style="41" hidden="1" customWidth="1" outlineLevel="2"/>
    <col min="15" max="15" width="4.7109375" style="41" customWidth="1" outlineLevel="1" collapsed="1"/>
    <col min="16" max="16" width="5" style="41" customWidth="1" outlineLevel="1"/>
    <col min="17" max="17" width="10.7109375" style="41" customWidth="1"/>
    <col min="18" max="18" width="8" style="41" customWidth="1"/>
    <col min="19" max="19" width="11.85546875" style="41" customWidth="1" outlineLevel="1"/>
    <col min="20" max="20" width="10.42578125" style="41" customWidth="1" outlineLevel="1"/>
    <col min="21" max="16384" width="9.140625" style="41"/>
  </cols>
  <sheetData>
    <row r="1" spans="1:20" ht="78" customHeight="1" thickBot="1" x14ac:dyDescent="0.3">
      <c r="B1" s="486"/>
    </row>
    <row r="2" spans="1:20" ht="15" customHeight="1" thickBot="1" x14ac:dyDescent="0.3">
      <c r="A2" s="125" t="str">
        <f>[1]Arkusz1!H1</f>
        <v>Rachunek zysków i strat</v>
      </c>
      <c r="B2" s="140"/>
      <c r="C2" s="406"/>
      <c r="D2" s="126"/>
      <c r="E2" s="653">
        <v>0.09</v>
      </c>
      <c r="F2" s="126"/>
      <c r="G2" s="126"/>
      <c r="H2" s="126"/>
      <c r="I2" s="126"/>
      <c r="J2" s="126"/>
      <c r="K2" s="127"/>
      <c r="L2" s="127"/>
      <c r="M2" s="127"/>
      <c r="O2" s="319"/>
      <c r="P2" s="319"/>
      <c r="Q2" s="326"/>
      <c r="S2" s="41" t="s">
        <v>296</v>
      </c>
    </row>
    <row r="3" spans="1:20" ht="15" customHeight="1" thickBot="1" x14ac:dyDescent="0.3">
      <c r="A3" s="128" t="str">
        <f>[1]Arkusz1!H2</f>
        <v xml:space="preserve"> - wariant porównawczy -</v>
      </c>
      <c r="B3" s="143"/>
      <c r="C3" s="407"/>
      <c r="D3" s="1"/>
      <c r="E3" s="1"/>
      <c r="F3" s="1"/>
      <c r="G3" s="1"/>
      <c r="H3" s="1"/>
      <c r="I3" s="1"/>
      <c r="J3" s="1"/>
      <c r="K3" s="1"/>
      <c r="L3" s="2"/>
      <c r="M3" s="1"/>
      <c r="N3" s="129"/>
      <c r="Q3" s="129"/>
      <c r="S3" s="654">
        <v>0</v>
      </c>
      <c r="T3" s="41">
        <f>'załącznik nr 1 porównawczy'!B13</f>
        <v>2023</v>
      </c>
    </row>
    <row r="4" spans="1:20" ht="15" hidden="1" customHeight="1" x14ac:dyDescent="0.25">
      <c r="A4" s="130"/>
      <c r="B4" s="327"/>
      <c r="C4" s="408"/>
      <c r="D4" s="1"/>
      <c r="E4" s="1"/>
      <c r="F4" s="1"/>
      <c r="G4" s="1"/>
      <c r="H4" s="1"/>
      <c r="I4" s="1"/>
      <c r="J4" s="1"/>
      <c r="K4" s="1"/>
      <c r="L4" s="1"/>
      <c r="M4" s="1"/>
      <c r="N4" s="129"/>
      <c r="Q4" s="129"/>
    </row>
    <row r="5" spans="1:20" ht="15" hidden="1" customHeight="1" thickBot="1" x14ac:dyDescent="0.3">
      <c r="A5" s="130"/>
      <c r="B5" s="328"/>
      <c r="C5" s="409"/>
      <c r="D5" s="3"/>
      <c r="E5" s="3"/>
      <c r="F5" s="3"/>
      <c r="G5" s="3"/>
      <c r="H5" s="1"/>
      <c r="I5" s="1"/>
      <c r="J5" s="1"/>
      <c r="K5" s="1"/>
      <c r="L5" s="1"/>
      <c r="M5" s="1"/>
      <c r="N5" s="129"/>
      <c r="Q5" s="329"/>
    </row>
    <row r="6" spans="1:20" ht="27" customHeight="1" thickBot="1" x14ac:dyDescent="0.3">
      <c r="A6" s="131"/>
      <c r="B6" s="330"/>
      <c r="C6" s="594">
        <f>D6-1</f>
        <v>2022</v>
      </c>
      <c r="D6" s="38">
        <f>'załącznik nr 1 porównawczy'!B13</f>
        <v>2023</v>
      </c>
      <c r="E6" s="38"/>
      <c r="F6" s="38">
        <f>'załącznik nr 1 porównawczy'!C13</f>
        <v>2024</v>
      </c>
      <c r="G6" s="38">
        <f>'załącznik nr 1 porównawczy'!D13</f>
        <v>2025</v>
      </c>
      <c r="H6" s="38">
        <f>'załącznik nr 1 porównawczy'!E13</f>
        <v>2026</v>
      </c>
      <c r="I6" s="38">
        <f>'załącznik nr 1 porównawczy'!F13</f>
        <v>0</v>
      </c>
      <c r="J6" s="38">
        <f>'załącznik nr 1 porównawczy'!G13</f>
        <v>0</v>
      </c>
      <c r="K6" s="38" t="str">
        <f>'załącznik nr 1 porównawczy'!H13</f>
        <v>wpisz rok</v>
      </c>
      <c r="L6" s="38">
        <f>'załącznik nr 1 porównawczy'!I13</f>
        <v>0</v>
      </c>
      <c r="M6" s="38">
        <f>'załącznik nr 1 porównawczy'!J13</f>
        <v>0</v>
      </c>
      <c r="N6" s="38">
        <f>'załącznik nr 1 porównawczy'!K13</f>
        <v>0</v>
      </c>
      <c r="Q6" s="38" t="s">
        <v>364</v>
      </c>
    </row>
    <row r="7" spans="1:20" ht="17.25" customHeight="1" x14ac:dyDescent="0.25">
      <c r="A7" s="132" t="s">
        <v>19</v>
      </c>
      <c r="B7" s="331" t="str">
        <f>[1]Arkusz1!H7</f>
        <v>Przychody netto ze sprzedaży produktów, towarów i materiałów, w tym:</v>
      </c>
      <c r="C7" s="33">
        <f t="shared" ref="C7" si="0">SUM(C9:C12)</f>
        <v>0</v>
      </c>
      <c r="D7" s="33">
        <f t="shared" ref="D7:N7" si="1">SUM(D9:D12)</f>
        <v>0</v>
      </c>
      <c r="E7" s="410" t="e">
        <f>(D7-C7)/C7</f>
        <v>#DIV/0!</v>
      </c>
      <c r="F7" s="33">
        <f>SUM(F8:F12)</f>
        <v>0</v>
      </c>
      <c r="G7" s="33">
        <f t="shared" si="1"/>
        <v>0</v>
      </c>
      <c r="H7" s="33">
        <f t="shared" si="1"/>
        <v>0</v>
      </c>
      <c r="I7" s="33">
        <f t="shared" si="1"/>
        <v>0</v>
      </c>
      <c r="J7" s="34">
        <f t="shared" si="1"/>
        <v>0</v>
      </c>
      <c r="K7" s="33">
        <f t="shared" si="1"/>
        <v>0</v>
      </c>
      <c r="L7" s="33">
        <f t="shared" si="1"/>
        <v>0</v>
      </c>
      <c r="M7" s="33">
        <f t="shared" si="1"/>
        <v>0</v>
      </c>
      <c r="N7" s="33">
        <f t="shared" si="1"/>
        <v>0</v>
      </c>
      <c r="Q7" s="33">
        <f t="shared" ref="Q7" si="2">SUM(Q9:Q12)</f>
        <v>0</v>
      </c>
      <c r="S7" s="33" t="e">
        <f>(Q7*12/$S$3)</f>
        <v>#DIV/0!</v>
      </c>
      <c r="T7" s="410" t="e">
        <f>(S7-D7)/D7</f>
        <v>#DIV/0!</v>
      </c>
    </row>
    <row r="8" spans="1:20" ht="6" hidden="1" customHeight="1" x14ac:dyDescent="0.25">
      <c r="A8" s="133"/>
      <c r="B8" s="133" t="str">
        <f>[1]Arkusz1!H8</f>
        <v xml:space="preserve"> - od jednostek powiązanych</v>
      </c>
      <c r="C8" s="5"/>
      <c r="D8" s="5"/>
      <c r="E8" s="411" t="e">
        <f t="shared" ref="E8:E56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 t="e">
        <f t="shared" ref="S8:S56" si="4">(Q8*12/$S$3)</f>
        <v>#DIV/0!</v>
      </c>
      <c r="T8" s="411" t="e">
        <f t="shared" ref="T8:T56" si="5">(S8-D8)/D8</f>
        <v>#DIV/0!</v>
      </c>
    </row>
    <row r="9" spans="1:20" ht="15" customHeight="1" x14ac:dyDescent="0.25">
      <c r="A9" s="383" t="s">
        <v>20</v>
      </c>
      <c r="B9" s="384" t="s">
        <v>1</v>
      </c>
      <c r="C9" s="40"/>
      <c r="D9" s="40">
        <f>'załącznik nr 1 porównawczy'!B14</f>
        <v>0</v>
      </c>
      <c r="E9" s="412" t="e">
        <f t="shared" si="3"/>
        <v>#DIV/0!</v>
      </c>
      <c r="F9" s="453">
        <f>'plan sprzedaży i zakupów '!C3</f>
        <v>0</v>
      </c>
      <c r="G9" s="453">
        <f>'plan sprzedaży i zakupów '!D3</f>
        <v>0</v>
      </c>
      <c r="H9" s="453">
        <f>'plan sprzedaży i zakupów '!E3</f>
        <v>0</v>
      </c>
      <c r="I9" s="453">
        <f>'plan sprzedaży i zakupów '!F3</f>
        <v>0</v>
      </c>
      <c r="J9" s="453">
        <f>'plan sprzedaży i zakupów '!G3</f>
        <v>0</v>
      </c>
      <c r="K9" s="453">
        <f>'plan sprzedaży i zakupów '!H3</f>
        <v>0</v>
      </c>
      <c r="L9" s="453">
        <f>'plan sprzedaży i zakupów '!I3</f>
        <v>0</v>
      </c>
      <c r="M9" s="453">
        <f>'plan sprzedaży i zakupów '!J3</f>
        <v>0</v>
      </c>
      <c r="N9" s="453">
        <f>'plan sprzedaży i zakupów '!K3</f>
        <v>0</v>
      </c>
      <c r="O9" s="229"/>
      <c r="P9" s="229"/>
      <c r="Q9" s="40"/>
      <c r="R9" s="289" t="s">
        <v>355</v>
      </c>
      <c r="S9" s="453" t="e">
        <f t="shared" si="4"/>
        <v>#DIV/0!</v>
      </c>
      <c r="T9" s="412" t="e">
        <f t="shared" si="5"/>
        <v>#DIV/0!</v>
      </c>
    </row>
    <row r="10" spans="1:20" ht="15" hidden="1" customHeight="1" x14ac:dyDescent="0.25">
      <c r="A10" s="383" t="s">
        <v>21</v>
      </c>
      <c r="B10" s="384" t="str">
        <f>[1]Arkusz1!H10</f>
        <v>Zmiana stanu produktów (zwiększenie wartość dodatnia, zmniejszenie wartość ujemna)</v>
      </c>
      <c r="C10" s="40"/>
      <c r="D10" s="40"/>
      <c r="E10" s="412" t="e">
        <f t="shared" si="3"/>
        <v>#DIV/0!</v>
      </c>
      <c r="F10" s="453"/>
      <c r="G10" s="453"/>
      <c r="H10" s="453"/>
      <c r="I10" s="453"/>
      <c r="J10" s="454"/>
      <c r="K10" s="453"/>
      <c r="L10" s="453"/>
      <c r="M10" s="453"/>
      <c r="N10" s="453"/>
      <c r="O10" s="229"/>
      <c r="P10" s="229"/>
      <c r="Q10" s="40"/>
      <c r="R10" s="289" t="s">
        <v>355</v>
      </c>
      <c r="S10" s="453" t="e">
        <f t="shared" si="4"/>
        <v>#DIV/0!</v>
      </c>
      <c r="T10" s="412" t="e">
        <f t="shared" si="5"/>
        <v>#DIV/0!</v>
      </c>
    </row>
    <row r="11" spans="1:20" ht="15" hidden="1" customHeight="1" x14ac:dyDescent="0.25">
      <c r="A11" s="383" t="s">
        <v>22</v>
      </c>
      <c r="B11" s="384" t="str">
        <f>[1]Arkusz1!H11</f>
        <v xml:space="preserve">Koszt wytworzenia produktów na własne potrzeby jednostki </v>
      </c>
      <c r="C11" s="40"/>
      <c r="D11" s="40"/>
      <c r="E11" s="412" t="e">
        <f t="shared" si="3"/>
        <v>#DIV/0!</v>
      </c>
      <c r="F11" s="453"/>
      <c r="G11" s="453"/>
      <c r="H11" s="453"/>
      <c r="I11" s="453"/>
      <c r="J11" s="454"/>
      <c r="K11" s="453"/>
      <c r="L11" s="453"/>
      <c r="M11" s="453"/>
      <c r="N11" s="453"/>
      <c r="O11" s="229"/>
      <c r="P11" s="229"/>
      <c r="Q11" s="40"/>
      <c r="R11" s="289" t="s">
        <v>355</v>
      </c>
      <c r="S11" s="453" t="e">
        <f t="shared" si="4"/>
        <v>#DIV/0!</v>
      </c>
      <c r="T11" s="412" t="e">
        <f t="shared" si="5"/>
        <v>#DIV/0!</v>
      </c>
    </row>
    <row r="12" spans="1:20" ht="15" customHeight="1" x14ac:dyDescent="0.25">
      <c r="A12" s="383" t="s">
        <v>23</v>
      </c>
      <c r="B12" s="384" t="str">
        <f>[1]Arkusz1!H12</f>
        <v>Przychody netto ze sprzedaży towarów i materiałów.</v>
      </c>
      <c r="C12" s="40"/>
      <c r="D12" s="40">
        <f>'załącznik nr 1 porównawczy'!B17</f>
        <v>0</v>
      </c>
      <c r="E12" s="412" t="e">
        <f t="shared" si="3"/>
        <v>#DIV/0!</v>
      </c>
      <c r="F12" s="453">
        <f>'plan sprzedaży i zakupów '!C8</f>
        <v>0</v>
      </c>
      <c r="G12" s="453">
        <f>'plan sprzedaży i zakupów '!D8</f>
        <v>0</v>
      </c>
      <c r="H12" s="453">
        <f>'plan sprzedaży i zakupów '!E8</f>
        <v>0</v>
      </c>
      <c r="I12" s="453">
        <f>'plan sprzedaży i zakupów '!F8</f>
        <v>0</v>
      </c>
      <c r="J12" s="453">
        <f>'plan sprzedaży i zakupów '!G8</f>
        <v>0</v>
      </c>
      <c r="K12" s="453">
        <f>'plan sprzedaży i zakupów '!H8</f>
        <v>0</v>
      </c>
      <c r="L12" s="453">
        <f>'plan sprzedaży i zakupów '!I8</f>
        <v>0</v>
      </c>
      <c r="M12" s="453">
        <f>'plan sprzedaży i zakupów '!J8</f>
        <v>0</v>
      </c>
      <c r="N12" s="453">
        <f>'plan sprzedaży i zakupów '!K8</f>
        <v>0</v>
      </c>
      <c r="O12" s="229"/>
      <c r="P12" s="229"/>
      <c r="Q12" s="40"/>
      <c r="R12" s="289" t="s">
        <v>355</v>
      </c>
      <c r="S12" s="453" t="e">
        <f t="shared" si="4"/>
        <v>#DIV/0!</v>
      </c>
      <c r="T12" s="412" t="e">
        <f t="shared" si="5"/>
        <v>#DIV/0!</v>
      </c>
    </row>
    <row r="13" spans="1:20" ht="15" customHeight="1" x14ac:dyDescent="0.25">
      <c r="A13" s="132" t="s">
        <v>24</v>
      </c>
      <c r="B13" s="331" t="str">
        <f>[1]Arkusz1!H13</f>
        <v>Koszty działalności operacyjnej</v>
      </c>
      <c r="C13" s="33">
        <f>SUM(C14:C17,C19:C22)</f>
        <v>0</v>
      </c>
      <c r="D13" s="33">
        <f>SUM(D14:D17,D19:D22)</f>
        <v>0</v>
      </c>
      <c r="E13" s="410" t="e">
        <f t="shared" si="3"/>
        <v>#DIV/0!</v>
      </c>
      <c r="F13" s="33">
        <f t="shared" ref="F13:N13" si="6">SUM(F14:F17,F19:F22)</f>
        <v>0</v>
      </c>
      <c r="G13" s="33">
        <f t="shared" si="6"/>
        <v>0</v>
      </c>
      <c r="H13" s="33">
        <f t="shared" si="6"/>
        <v>0</v>
      </c>
      <c r="I13" s="33">
        <f t="shared" si="6"/>
        <v>0</v>
      </c>
      <c r="J13" s="34">
        <f t="shared" si="6"/>
        <v>0</v>
      </c>
      <c r="K13" s="33">
        <f t="shared" si="6"/>
        <v>0</v>
      </c>
      <c r="L13" s="33">
        <f t="shared" si="6"/>
        <v>0</v>
      </c>
      <c r="M13" s="33">
        <f t="shared" si="6"/>
        <v>0</v>
      </c>
      <c r="N13" s="33">
        <f t="shared" si="6"/>
        <v>0</v>
      </c>
      <c r="Q13" s="33">
        <f>SUM(Q14:Q17,Q19:Q22)</f>
        <v>0</v>
      </c>
      <c r="R13" s="289"/>
      <c r="S13" s="33" t="e">
        <f t="shared" si="4"/>
        <v>#DIV/0!</v>
      </c>
      <c r="T13" s="410" t="e">
        <f t="shared" si="5"/>
        <v>#DIV/0!</v>
      </c>
    </row>
    <row r="14" spans="1:20" ht="15" customHeight="1" x14ac:dyDescent="0.25">
      <c r="A14" s="383" t="s">
        <v>20</v>
      </c>
      <c r="B14" s="384" t="str">
        <f>[1]Arkusz1!H14</f>
        <v>Amortyzacja</v>
      </c>
      <c r="C14" s="40"/>
      <c r="D14" s="40">
        <f>'załącznik nr 1 porównawczy'!B40</f>
        <v>0</v>
      </c>
      <c r="E14" s="412" t="e">
        <f t="shared" si="3"/>
        <v>#DIV/0!</v>
      </c>
      <c r="F14" s="453">
        <f>'Parametry nakładów i pożyczki'!D41</f>
        <v>0</v>
      </c>
      <c r="G14" s="453">
        <f>'Parametry nakładów i pożyczki'!E41</f>
        <v>0</v>
      </c>
      <c r="H14" s="453">
        <f>'Parametry nakładów i pożyczki'!F41</f>
        <v>0</v>
      </c>
      <c r="I14" s="453">
        <f>'Parametry nakładów i pożyczki'!G41</f>
        <v>0</v>
      </c>
      <c r="J14" s="453">
        <f>'Parametry nakładów i pożyczki'!H41</f>
        <v>0</v>
      </c>
      <c r="K14" s="453">
        <f>'Parametry nakładów i pożyczki'!I41</f>
        <v>0</v>
      </c>
      <c r="L14" s="453">
        <f>'Parametry nakładów i pożyczki'!J41</f>
        <v>0</v>
      </c>
      <c r="M14" s="453">
        <f>'Parametry nakładów i pożyczki'!K41</f>
        <v>0</v>
      </c>
      <c r="N14" s="453">
        <f>'Parametry nakładów i pożyczki'!L41</f>
        <v>0</v>
      </c>
      <c r="O14" s="229"/>
      <c r="P14" s="229"/>
      <c r="Q14" s="40"/>
      <c r="R14" s="289" t="s">
        <v>355</v>
      </c>
      <c r="S14" s="453" t="e">
        <f t="shared" si="4"/>
        <v>#DIV/0!</v>
      </c>
      <c r="T14" s="412" t="e">
        <f t="shared" si="5"/>
        <v>#DIV/0!</v>
      </c>
    </row>
    <row r="15" spans="1:20" ht="15" customHeight="1" x14ac:dyDescent="0.25">
      <c r="A15" s="383" t="s">
        <v>21</v>
      </c>
      <c r="B15" s="384" t="str">
        <f>[1]Arkusz1!H15</f>
        <v>Zużycie materiałów i energii</v>
      </c>
      <c r="C15" s="40"/>
      <c r="D15" s="40">
        <f>'załącznik nr 1 porównawczy'!B41</f>
        <v>0</v>
      </c>
      <c r="E15" s="412" t="e">
        <f t="shared" si="3"/>
        <v>#DIV/0!</v>
      </c>
      <c r="F15" s="453">
        <f>'zmiana kosztów eksploatacyjnych'!C3</f>
        <v>0</v>
      </c>
      <c r="G15" s="453">
        <f>'zmiana kosztów eksploatacyjnych'!D3</f>
        <v>0</v>
      </c>
      <c r="H15" s="453">
        <f>'zmiana kosztów eksploatacyjnych'!E3</f>
        <v>0</v>
      </c>
      <c r="I15" s="453">
        <f>'zmiana kosztów eksploatacyjnych'!F3</f>
        <v>0</v>
      </c>
      <c r="J15" s="453">
        <f>'zmiana kosztów eksploatacyjnych'!G3</f>
        <v>0</v>
      </c>
      <c r="K15" s="453">
        <f>'zmiana kosztów eksploatacyjnych'!H3</f>
        <v>0</v>
      </c>
      <c r="L15" s="453">
        <f>'zmiana kosztów eksploatacyjnych'!I3</f>
        <v>0</v>
      </c>
      <c r="M15" s="453">
        <f>'zmiana kosztów eksploatacyjnych'!J3</f>
        <v>0</v>
      </c>
      <c r="N15" s="453">
        <f>'zmiana kosztów eksploatacyjnych'!K3</f>
        <v>0</v>
      </c>
      <c r="O15" s="229"/>
      <c r="P15" s="229"/>
      <c r="Q15" s="40"/>
      <c r="R15" s="289" t="s">
        <v>355</v>
      </c>
      <c r="S15" s="453" t="e">
        <f t="shared" si="4"/>
        <v>#DIV/0!</v>
      </c>
      <c r="T15" s="412" t="e">
        <f t="shared" si="5"/>
        <v>#DIV/0!</v>
      </c>
    </row>
    <row r="16" spans="1:20" ht="15" customHeight="1" x14ac:dyDescent="0.25">
      <c r="A16" s="383" t="s">
        <v>22</v>
      </c>
      <c r="B16" s="384" t="str">
        <f>[1]Arkusz1!H16</f>
        <v>Usługi obce</v>
      </c>
      <c r="C16" s="40"/>
      <c r="D16" s="40">
        <f>'załącznik nr 1 porównawczy'!B45</f>
        <v>0</v>
      </c>
      <c r="E16" s="412" t="e">
        <f t="shared" si="3"/>
        <v>#DIV/0!</v>
      </c>
      <c r="F16" s="453">
        <f>'zmiana kosztów eksploatacyjnych'!C9</f>
        <v>0</v>
      </c>
      <c r="G16" s="453">
        <f>'zmiana kosztów eksploatacyjnych'!D9</f>
        <v>0</v>
      </c>
      <c r="H16" s="453">
        <f>'zmiana kosztów eksploatacyjnych'!E9</f>
        <v>0</v>
      </c>
      <c r="I16" s="453">
        <f>'zmiana kosztów eksploatacyjnych'!F9</f>
        <v>0</v>
      </c>
      <c r="J16" s="453">
        <f>'zmiana kosztów eksploatacyjnych'!G9</f>
        <v>0</v>
      </c>
      <c r="K16" s="453">
        <f>'zmiana kosztów eksploatacyjnych'!H9</f>
        <v>0</v>
      </c>
      <c r="L16" s="453">
        <f>'zmiana kosztów eksploatacyjnych'!I9</f>
        <v>0</v>
      </c>
      <c r="M16" s="453">
        <f>'zmiana kosztów eksploatacyjnych'!J9</f>
        <v>0</v>
      </c>
      <c r="N16" s="453">
        <f>'zmiana kosztów eksploatacyjnych'!K9</f>
        <v>0</v>
      </c>
      <c r="O16" s="229"/>
      <c r="P16" s="229"/>
      <c r="Q16" s="40"/>
      <c r="R16" s="289" t="s">
        <v>355</v>
      </c>
      <c r="S16" s="453" t="e">
        <f t="shared" si="4"/>
        <v>#DIV/0!</v>
      </c>
      <c r="T16" s="412" t="e">
        <f t="shared" si="5"/>
        <v>#DIV/0!</v>
      </c>
    </row>
    <row r="17" spans="1:20" ht="15" customHeight="1" x14ac:dyDescent="0.25">
      <c r="A17" s="383" t="s">
        <v>23</v>
      </c>
      <c r="B17" s="384" t="str">
        <f>[1]Arkusz1!H17</f>
        <v>Podatki i opłaty, w tym</v>
      </c>
      <c r="C17" s="40"/>
      <c r="D17" s="40">
        <f>'załącznik nr 1 porównawczy'!B54</f>
        <v>0</v>
      </c>
      <c r="E17" s="412" t="e">
        <f t="shared" si="3"/>
        <v>#DIV/0!</v>
      </c>
      <c r="F17" s="453">
        <f>'zmiana kosztów eksploatacyjnych'!C23</f>
        <v>0</v>
      </c>
      <c r="G17" s="453">
        <f>'zmiana kosztów eksploatacyjnych'!D23</f>
        <v>0</v>
      </c>
      <c r="H17" s="453">
        <f>'zmiana kosztów eksploatacyjnych'!E23</f>
        <v>0</v>
      </c>
      <c r="I17" s="453">
        <f>'zmiana kosztów eksploatacyjnych'!F23</f>
        <v>0</v>
      </c>
      <c r="J17" s="453">
        <f>'zmiana kosztów eksploatacyjnych'!G23</f>
        <v>0</v>
      </c>
      <c r="K17" s="453">
        <f>'zmiana kosztów eksploatacyjnych'!H23</f>
        <v>0</v>
      </c>
      <c r="L17" s="453">
        <f>'zmiana kosztów eksploatacyjnych'!I23</f>
        <v>0</v>
      </c>
      <c r="M17" s="453">
        <f>'zmiana kosztów eksploatacyjnych'!J23</f>
        <v>0</v>
      </c>
      <c r="N17" s="453">
        <f>'zmiana kosztów eksploatacyjnych'!K23</f>
        <v>0</v>
      </c>
      <c r="O17" s="229"/>
      <c r="P17" s="229"/>
      <c r="Q17" s="40"/>
      <c r="R17" s="289" t="s">
        <v>355</v>
      </c>
      <c r="S17" s="453" t="e">
        <f t="shared" si="4"/>
        <v>#DIV/0!</v>
      </c>
      <c r="T17" s="412" t="e">
        <f t="shared" si="5"/>
        <v>#DIV/0!</v>
      </c>
    </row>
    <row r="18" spans="1:20" ht="15" hidden="1" customHeight="1" x14ac:dyDescent="0.25">
      <c r="A18" s="383"/>
      <c r="B18" s="384" t="str">
        <f>[1]Arkusz1!H18</f>
        <v xml:space="preserve"> - podatek akcyzowy</v>
      </c>
      <c r="C18" s="40"/>
      <c r="D18" s="40"/>
      <c r="E18" s="412" t="e">
        <f t="shared" si="3"/>
        <v>#DIV/0!</v>
      </c>
      <c r="F18" s="453">
        <f>IF(wskaźniki!$C$30=1,$D18+'zmiana kosztów eksploatacyjnych'!C24,RZiS!$S18+'zmiana kosztów eksploatacyjnych'!C24)</f>
        <v>0</v>
      </c>
      <c r="G18" s="453"/>
      <c r="H18" s="453"/>
      <c r="I18" s="453"/>
      <c r="J18" s="454"/>
      <c r="K18" s="453"/>
      <c r="L18" s="453"/>
      <c r="M18" s="453"/>
      <c r="N18" s="453"/>
      <c r="O18" s="229"/>
      <c r="P18" s="229"/>
      <c r="Q18" s="40"/>
      <c r="R18" s="289" t="s">
        <v>355</v>
      </c>
      <c r="S18" s="453" t="e">
        <f t="shared" si="4"/>
        <v>#DIV/0!</v>
      </c>
      <c r="T18" s="412" t="e">
        <f t="shared" si="5"/>
        <v>#DIV/0!</v>
      </c>
    </row>
    <row r="19" spans="1:20" ht="15" customHeight="1" x14ac:dyDescent="0.25">
      <c r="A19" s="383" t="s">
        <v>25</v>
      </c>
      <c r="B19" s="384" t="str">
        <f>[1]Arkusz1!H19</f>
        <v>Wynagrodzenia</v>
      </c>
      <c r="C19" s="40"/>
      <c r="D19" s="40">
        <f>'załącznik nr 1 porównawczy'!B58</f>
        <v>0</v>
      </c>
      <c r="E19" s="412" t="e">
        <f t="shared" si="3"/>
        <v>#DIV/0!</v>
      </c>
      <c r="F19" s="453">
        <f>'zmiana kosztów eksploatacyjnych'!C29</f>
        <v>0</v>
      </c>
      <c r="G19" s="453">
        <f>'zmiana kosztów eksploatacyjnych'!D29</f>
        <v>0</v>
      </c>
      <c r="H19" s="453">
        <f>'zmiana kosztów eksploatacyjnych'!E29</f>
        <v>0</v>
      </c>
      <c r="I19" s="453">
        <f>'zmiana kosztów eksploatacyjnych'!F29</f>
        <v>0</v>
      </c>
      <c r="J19" s="453">
        <f>'zmiana kosztów eksploatacyjnych'!G29</f>
        <v>0</v>
      </c>
      <c r="K19" s="453">
        <f>'zmiana kosztów eksploatacyjnych'!H29</f>
        <v>0</v>
      </c>
      <c r="L19" s="453">
        <f>'zmiana kosztów eksploatacyjnych'!I29</f>
        <v>0</v>
      </c>
      <c r="M19" s="453">
        <f>'zmiana kosztów eksploatacyjnych'!J29</f>
        <v>0</v>
      </c>
      <c r="N19" s="453">
        <f>'zmiana kosztów eksploatacyjnych'!K29</f>
        <v>0</v>
      </c>
      <c r="O19" s="229"/>
      <c r="P19" s="229"/>
      <c r="Q19" s="40"/>
      <c r="R19" s="289" t="s">
        <v>355</v>
      </c>
      <c r="S19" s="453" t="e">
        <f t="shared" si="4"/>
        <v>#DIV/0!</v>
      </c>
      <c r="T19" s="412" t="e">
        <f t="shared" si="5"/>
        <v>#DIV/0!</v>
      </c>
    </row>
    <row r="20" spans="1:20" ht="15" customHeight="1" x14ac:dyDescent="0.25">
      <c r="A20" s="383" t="s">
        <v>26</v>
      </c>
      <c r="B20" s="384" t="str">
        <f>[1]Arkusz1!H20</f>
        <v>Ubezpieczenia społeczne i inne świadczenia</v>
      </c>
      <c r="C20" s="40"/>
      <c r="D20" s="40">
        <f>'załącznik nr 1 porównawczy'!B59</f>
        <v>0</v>
      </c>
      <c r="E20" s="412" t="e">
        <f t="shared" si="3"/>
        <v>#DIV/0!</v>
      </c>
      <c r="F20" s="453">
        <f>'zmiana kosztów eksploatacyjnych'!C40</f>
        <v>0</v>
      </c>
      <c r="G20" s="453">
        <f>'zmiana kosztów eksploatacyjnych'!D40</f>
        <v>0</v>
      </c>
      <c r="H20" s="453">
        <f>'zmiana kosztów eksploatacyjnych'!E40</f>
        <v>0</v>
      </c>
      <c r="I20" s="453">
        <f>'zmiana kosztów eksploatacyjnych'!F40</f>
        <v>0</v>
      </c>
      <c r="J20" s="453">
        <f>'zmiana kosztów eksploatacyjnych'!G40</f>
        <v>0</v>
      </c>
      <c r="K20" s="453">
        <f>'zmiana kosztów eksploatacyjnych'!H40</f>
        <v>0</v>
      </c>
      <c r="L20" s="453">
        <f>'zmiana kosztów eksploatacyjnych'!I40</f>
        <v>0</v>
      </c>
      <c r="M20" s="453">
        <f>'zmiana kosztów eksploatacyjnych'!J40</f>
        <v>0</v>
      </c>
      <c r="N20" s="453">
        <f>'zmiana kosztów eksploatacyjnych'!K40</f>
        <v>0</v>
      </c>
      <c r="O20" s="229"/>
      <c r="P20" s="229"/>
      <c r="Q20" s="40"/>
      <c r="R20" s="289" t="s">
        <v>355</v>
      </c>
      <c r="S20" s="453" t="e">
        <f t="shared" si="4"/>
        <v>#DIV/0!</v>
      </c>
      <c r="T20" s="412" t="e">
        <f t="shared" si="5"/>
        <v>#DIV/0!</v>
      </c>
    </row>
    <row r="21" spans="1:20" ht="15" customHeight="1" x14ac:dyDescent="0.25">
      <c r="A21" s="383" t="s">
        <v>27</v>
      </c>
      <c r="B21" s="384" t="str">
        <f>[1]Arkusz1!H21</f>
        <v>Pozostałe koszty rodzajowe</v>
      </c>
      <c r="C21" s="40"/>
      <c r="D21" s="40">
        <f>'załącznik nr 1 porównawczy'!B60</f>
        <v>0</v>
      </c>
      <c r="E21" s="412" t="e">
        <f t="shared" si="3"/>
        <v>#DIV/0!</v>
      </c>
      <c r="F21" s="453">
        <f>'zmiana kosztów eksploatacyjnych'!C42</f>
        <v>0</v>
      </c>
      <c r="G21" s="453">
        <f>'zmiana kosztów eksploatacyjnych'!D42</f>
        <v>0</v>
      </c>
      <c r="H21" s="453">
        <f>'zmiana kosztów eksploatacyjnych'!E42</f>
        <v>0</v>
      </c>
      <c r="I21" s="453">
        <f>'zmiana kosztów eksploatacyjnych'!F42</f>
        <v>0</v>
      </c>
      <c r="J21" s="453">
        <f>'zmiana kosztów eksploatacyjnych'!G42</f>
        <v>0</v>
      </c>
      <c r="K21" s="453">
        <f>'zmiana kosztów eksploatacyjnych'!H42</f>
        <v>0</v>
      </c>
      <c r="L21" s="453">
        <f>'zmiana kosztów eksploatacyjnych'!I42</f>
        <v>0</v>
      </c>
      <c r="M21" s="453">
        <f>'zmiana kosztów eksploatacyjnych'!J42</f>
        <v>0</v>
      </c>
      <c r="N21" s="453">
        <f>'zmiana kosztów eksploatacyjnych'!K42</f>
        <v>0</v>
      </c>
      <c r="O21" s="229"/>
      <c r="P21" s="229"/>
      <c r="Q21" s="40"/>
      <c r="R21" s="289" t="s">
        <v>355</v>
      </c>
      <c r="S21" s="453" t="e">
        <f t="shared" si="4"/>
        <v>#DIV/0!</v>
      </c>
      <c r="T21" s="412" t="e">
        <f t="shared" si="5"/>
        <v>#DIV/0!</v>
      </c>
    </row>
    <row r="22" spans="1:20" ht="15" customHeight="1" x14ac:dyDescent="0.25">
      <c r="A22" s="383" t="s">
        <v>28</v>
      </c>
      <c r="B22" s="384" t="str">
        <f>[1]Arkusz1!H22</f>
        <v>Wartość sprzedanych towarów i materiałów</v>
      </c>
      <c r="C22" s="40"/>
      <c r="D22" s="40">
        <f>'załącznik nr 1 porównawczy'!B24</f>
        <v>0</v>
      </c>
      <c r="E22" s="412" t="e">
        <f t="shared" si="3"/>
        <v>#DIV/0!</v>
      </c>
      <c r="F22" s="453">
        <f>'plan sprzedaży i zakupów '!C15</f>
        <v>0</v>
      </c>
      <c r="G22" s="453">
        <f>'plan sprzedaży i zakupów '!D15</f>
        <v>0</v>
      </c>
      <c r="H22" s="453">
        <f>'plan sprzedaży i zakupów '!E15</f>
        <v>0</v>
      </c>
      <c r="I22" s="453">
        <f>'plan sprzedaży i zakupów '!F15</f>
        <v>0</v>
      </c>
      <c r="J22" s="453">
        <f>'plan sprzedaży i zakupów '!G15</f>
        <v>0</v>
      </c>
      <c r="K22" s="453">
        <f>'plan sprzedaży i zakupów '!H15</f>
        <v>0</v>
      </c>
      <c r="L22" s="453">
        <f>'plan sprzedaży i zakupów '!I15</f>
        <v>0</v>
      </c>
      <c r="M22" s="453">
        <f>'plan sprzedaży i zakupów '!J15</f>
        <v>0</v>
      </c>
      <c r="N22" s="453">
        <f>'plan sprzedaży i zakupów '!K15</f>
        <v>0</v>
      </c>
      <c r="O22" s="229"/>
      <c r="P22" s="229"/>
      <c r="Q22" s="40"/>
      <c r="R22" s="289" t="s">
        <v>355</v>
      </c>
      <c r="S22" s="453" t="e">
        <f t="shared" si="4"/>
        <v>#DIV/0!</v>
      </c>
      <c r="T22" s="412" t="e">
        <f t="shared" si="5"/>
        <v>#DIV/0!</v>
      </c>
    </row>
    <row r="23" spans="1:20" ht="15" customHeight="1" x14ac:dyDescent="0.25">
      <c r="A23" s="655" t="s">
        <v>29</v>
      </c>
      <c r="B23" s="656" t="str">
        <f>[1]Arkusz1!H23</f>
        <v>Zysk (strata) ze sprzedaży (A-B)</v>
      </c>
      <c r="C23" s="657">
        <f t="shared" ref="C23" si="7">SUM(C7,-C13)</f>
        <v>0</v>
      </c>
      <c r="D23" s="657">
        <f t="shared" ref="D23:N23" si="8">SUM(D7,-D13)</f>
        <v>0</v>
      </c>
      <c r="E23" s="658" t="e">
        <f t="shared" si="3"/>
        <v>#DIV/0!</v>
      </c>
      <c r="F23" s="657">
        <f t="shared" si="8"/>
        <v>0</v>
      </c>
      <c r="G23" s="657">
        <f t="shared" si="8"/>
        <v>0</v>
      </c>
      <c r="H23" s="657">
        <f t="shared" si="8"/>
        <v>0</v>
      </c>
      <c r="I23" s="657">
        <f t="shared" si="8"/>
        <v>0</v>
      </c>
      <c r="J23" s="659">
        <f t="shared" si="8"/>
        <v>0</v>
      </c>
      <c r="K23" s="657">
        <f t="shared" si="8"/>
        <v>0</v>
      </c>
      <c r="L23" s="657">
        <f t="shared" si="8"/>
        <v>0</v>
      </c>
      <c r="M23" s="657">
        <f t="shared" si="8"/>
        <v>0</v>
      </c>
      <c r="N23" s="657">
        <f t="shared" si="8"/>
        <v>0</v>
      </c>
      <c r="O23" s="612"/>
      <c r="P23" s="612"/>
      <c r="Q23" s="657">
        <f t="shared" ref="Q23" si="9">SUM(Q7,-Q13)</f>
        <v>0</v>
      </c>
      <c r="R23" s="660"/>
      <c r="S23" s="657" t="e">
        <f t="shared" si="4"/>
        <v>#DIV/0!</v>
      </c>
      <c r="T23" s="658" t="e">
        <f t="shared" si="5"/>
        <v>#DIV/0!</v>
      </c>
    </row>
    <row r="24" spans="1:20" ht="15" customHeight="1" x14ac:dyDescent="0.25">
      <c r="A24" s="132" t="s">
        <v>30</v>
      </c>
      <c r="B24" s="331" t="str">
        <f>[1]Arkusz1!H24</f>
        <v>Pozostałe przychody operacyjne</v>
      </c>
      <c r="C24" s="33">
        <f t="shared" ref="C24" si="10">SUM(C25:C27)</f>
        <v>0</v>
      </c>
      <c r="D24" s="33">
        <f t="shared" ref="D24:N24" si="11">SUM(D25:D27)</f>
        <v>0</v>
      </c>
      <c r="E24" s="410" t="e">
        <f t="shared" si="3"/>
        <v>#DIV/0!</v>
      </c>
      <c r="F24" s="33">
        <f>SUM(F25:F27)</f>
        <v>0</v>
      </c>
      <c r="G24" s="33">
        <f t="shared" si="11"/>
        <v>0</v>
      </c>
      <c r="H24" s="33">
        <f t="shared" ref="H24:M24" si="12">SUM(H25:H27)</f>
        <v>0</v>
      </c>
      <c r="I24" s="33">
        <f t="shared" si="12"/>
        <v>0</v>
      </c>
      <c r="J24" s="34">
        <f t="shared" si="12"/>
        <v>0</v>
      </c>
      <c r="K24" s="33">
        <f t="shared" si="12"/>
        <v>0</v>
      </c>
      <c r="L24" s="33">
        <f t="shared" si="12"/>
        <v>0</v>
      </c>
      <c r="M24" s="33">
        <f t="shared" si="12"/>
        <v>0</v>
      </c>
      <c r="N24" s="33">
        <f t="shared" si="11"/>
        <v>0</v>
      </c>
      <c r="Q24" s="33">
        <f t="shared" ref="Q24" si="13">SUM(Q25:Q27)</f>
        <v>0</v>
      </c>
      <c r="R24" s="289"/>
      <c r="S24" s="33" t="e">
        <f t="shared" si="4"/>
        <v>#DIV/0!</v>
      </c>
      <c r="T24" s="410" t="e">
        <f t="shared" si="5"/>
        <v>#DIV/0!</v>
      </c>
    </row>
    <row r="25" spans="1:20" ht="15" customHeight="1" x14ac:dyDescent="0.25">
      <c r="A25" s="383" t="s">
        <v>20</v>
      </c>
      <c r="B25" s="384" t="str">
        <f>[1]Arkusz1!H25</f>
        <v xml:space="preserve">Zysk ze zbycia niefinansowych aktywów trwałych </v>
      </c>
      <c r="C25" s="40"/>
      <c r="D25" s="40"/>
      <c r="E25" s="412" t="e">
        <f t="shared" si="3"/>
        <v>#DIV/0!</v>
      </c>
      <c r="F25" s="453">
        <f>'plan sprzedaży i zakupów '!C22</f>
        <v>0</v>
      </c>
      <c r="G25" s="453"/>
      <c r="H25" s="453"/>
      <c r="I25" s="453"/>
      <c r="J25" s="453"/>
      <c r="K25" s="453"/>
      <c r="L25" s="453"/>
      <c r="M25" s="453"/>
      <c r="N25" s="453"/>
      <c r="O25" s="229"/>
      <c r="P25" s="229"/>
      <c r="Q25" s="40"/>
      <c r="R25" s="289" t="s">
        <v>355</v>
      </c>
      <c r="S25" s="453" t="e">
        <f t="shared" si="4"/>
        <v>#DIV/0!</v>
      </c>
      <c r="T25" s="412" t="e">
        <f t="shared" si="5"/>
        <v>#DIV/0!</v>
      </c>
    </row>
    <row r="26" spans="1:20" ht="15" customHeight="1" x14ac:dyDescent="0.25">
      <c r="A26" s="383" t="s">
        <v>21</v>
      </c>
      <c r="B26" s="384" t="str">
        <f>[1]Arkusz1!H26</f>
        <v>Dotacje</v>
      </c>
      <c r="C26" s="40"/>
      <c r="D26" s="40"/>
      <c r="E26" s="412" t="e">
        <f t="shared" si="3"/>
        <v>#DIV/0!</v>
      </c>
      <c r="F26" s="453">
        <f>'plan sprzedaży i zakupów '!C29</f>
        <v>0</v>
      </c>
      <c r="G26" s="453">
        <f>'plan sprzedaży i zakupów '!D29</f>
        <v>0</v>
      </c>
      <c r="H26" s="453">
        <f>'plan sprzedaży i zakupów '!E29</f>
        <v>0</v>
      </c>
      <c r="I26" s="453">
        <f>'plan sprzedaży i zakupów '!F29</f>
        <v>0</v>
      </c>
      <c r="J26" s="453">
        <f>'plan sprzedaży i zakupów '!G29</f>
        <v>0</v>
      </c>
      <c r="K26" s="453">
        <f>'plan sprzedaży i zakupów '!H29</f>
        <v>0</v>
      </c>
      <c r="L26" s="453">
        <f>'plan sprzedaży i zakupów '!I29</f>
        <v>0</v>
      </c>
      <c r="M26" s="453">
        <f>'plan sprzedaży i zakupów '!J29</f>
        <v>0</v>
      </c>
      <c r="N26" s="453">
        <f>'plan sprzedaży i zakupów '!K29</f>
        <v>0</v>
      </c>
      <c r="O26" s="229"/>
      <c r="P26" s="229"/>
      <c r="Q26" s="40"/>
      <c r="R26" s="289" t="s">
        <v>355</v>
      </c>
      <c r="S26" s="453" t="e">
        <f t="shared" si="4"/>
        <v>#DIV/0!</v>
      </c>
      <c r="T26" s="412" t="e">
        <f t="shared" si="5"/>
        <v>#DIV/0!</v>
      </c>
    </row>
    <row r="27" spans="1:20" ht="15" customHeight="1" x14ac:dyDescent="0.25">
      <c r="A27" s="383" t="s">
        <v>22</v>
      </c>
      <c r="B27" s="384" t="str">
        <f>[1]Arkusz1!H27</f>
        <v>Inne przychody operacyjne</v>
      </c>
      <c r="C27" s="40"/>
      <c r="D27" s="40"/>
      <c r="E27" s="412" t="e">
        <f t="shared" si="3"/>
        <v>#DIV/0!</v>
      </c>
      <c r="F27" s="453">
        <f>IF(wskaźniki!$C$30=1,$D27,RZiS!$S27)</f>
        <v>0</v>
      </c>
      <c r="G27" s="453">
        <f>IF(wskaźniki!$C$30=1,$D27,RZiS!$S27)</f>
        <v>0</v>
      </c>
      <c r="H27" s="453">
        <f>IF(wskaźniki!$C$30=1,$D27,RZiS!$S27)</f>
        <v>0</v>
      </c>
      <c r="I27" s="453">
        <f>IF(wskaźniki!$C$30=1,$D27,RZiS!$S27)</f>
        <v>0</v>
      </c>
      <c r="J27" s="453">
        <f>IF(wskaźniki!$C$30=1,$D27,RZiS!$S27)</f>
        <v>0</v>
      </c>
      <c r="K27" s="453">
        <f>IF(wskaźniki!$C$30=1,$D27,RZiS!$S27)</f>
        <v>0</v>
      </c>
      <c r="L27" s="453">
        <f>IF(wskaźniki!$C$30=1,$D27,RZiS!$S27)</f>
        <v>0</v>
      </c>
      <c r="M27" s="453">
        <f>IF(wskaźniki!$C$30=1,$D27,RZiS!$S27)</f>
        <v>0</v>
      </c>
      <c r="N27" s="453">
        <f>IF(wskaźniki!$C$30=1,$D27,RZiS!$S27)</f>
        <v>0</v>
      </c>
      <c r="O27" s="229"/>
      <c r="P27" s="229"/>
      <c r="Q27" s="40"/>
      <c r="R27" s="289" t="s">
        <v>355</v>
      </c>
      <c r="S27" s="453" t="e">
        <f t="shared" si="4"/>
        <v>#DIV/0!</v>
      </c>
      <c r="T27" s="412" t="e">
        <f t="shared" si="5"/>
        <v>#DIV/0!</v>
      </c>
    </row>
    <row r="28" spans="1:20" ht="15" customHeight="1" x14ac:dyDescent="0.25">
      <c r="A28" s="132" t="s">
        <v>31</v>
      </c>
      <c r="B28" s="331" t="str">
        <f>[1]Arkusz1!H28</f>
        <v>Pozostałe koszty operacyjne</v>
      </c>
      <c r="C28" s="33">
        <f t="shared" ref="C28" si="14">SUM(C29:C31)</f>
        <v>0</v>
      </c>
      <c r="D28" s="33">
        <f t="shared" ref="D28:N28" si="15">SUM(D29:D31)</f>
        <v>0</v>
      </c>
      <c r="E28" s="410" t="e">
        <f t="shared" si="3"/>
        <v>#DIV/0!</v>
      </c>
      <c r="F28" s="33">
        <f>SUM(F29:F31)</f>
        <v>0</v>
      </c>
      <c r="G28" s="33">
        <f t="shared" si="15"/>
        <v>0</v>
      </c>
      <c r="H28" s="33">
        <f t="shared" ref="H28:M28" si="16">SUM(H29:H31)</f>
        <v>0</v>
      </c>
      <c r="I28" s="33">
        <f t="shared" si="16"/>
        <v>0</v>
      </c>
      <c r="J28" s="34">
        <f t="shared" si="16"/>
        <v>0</v>
      </c>
      <c r="K28" s="33">
        <f t="shared" si="16"/>
        <v>0</v>
      </c>
      <c r="L28" s="33">
        <f t="shared" si="16"/>
        <v>0</v>
      </c>
      <c r="M28" s="33">
        <f t="shared" si="16"/>
        <v>0</v>
      </c>
      <c r="N28" s="33">
        <f t="shared" si="15"/>
        <v>0</v>
      </c>
      <c r="Q28" s="33">
        <f t="shared" ref="Q28" si="17">SUM(Q29:Q31)</f>
        <v>0</v>
      </c>
      <c r="R28" s="289"/>
      <c r="S28" s="33" t="e">
        <f t="shared" si="4"/>
        <v>#DIV/0!</v>
      </c>
      <c r="T28" s="410" t="e">
        <f t="shared" si="5"/>
        <v>#DIV/0!</v>
      </c>
    </row>
    <row r="29" spans="1:20" ht="15" customHeight="1" x14ac:dyDescent="0.25">
      <c r="A29" s="383" t="s">
        <v>20</v>
      </c>
      <c r="B29" s="384" t="str">
        <f>[1]Arkusz1!H29</f>
        <v>Strata ze zbycia niefinansowych aktywów trwałych</v>
      </c>
      <c r="C29" s="40"/>
      <c r="D29" s="40"/>
      <c r="E29" s="412" t="e">
        <f t="shared" si="3"/>
        <v>#DIV/0!</v>
      </c>
      <c r="F29" s="453"/>
      <c r="G29" s="453"/>
      <c r="H29" s="453"/>
      <c r="I29" s="453"/>
      <c r="J29" s="453"/>
      <c r="K29" s="453"/>
      <c r="L29" s="453"/>
      <c r="M29" s="453"/>
      <c r="N29" s="453"/>
      <c r="O29" s="229"/>
      <c r="P29" s="229"/>
      <c r="Q29" s="40"/>
      <c r="R29" s="289" t="s">
        <v>355</v>
      </c>
      <c r="S29" s="453" t="e">
        <f t="shared" si="4"/>
        <v>#DIV/0!</v>
      </c>
      <c r="T29" s="412" t="e">
        <f t="shared" si="5"/>
        <v>#DIV/0!</v>
      </c>
    </row>
    <row r="30" spans="1:20" hidden="1" x14ac:dyDescent="0.25">
      <c r="A30" s="383" t="s">
        <v>21</v>
      </c>
      <c r="B30" s="384"/>
      <c r="C30" s="40"/>
      <c r="D30" s="40"/>
      <c r="E30" s="412" t="e">
        <f t="shared" si="3"/>
        <v>#DIV/0!</v>
      </c>
      <c r="F30" s="453"/>
      <c r="G30" s="453"/>
      <c r="H30" s="453"/>
      <c r="I30" s="453"/>
      <c r="J30" s="454"/>
      <c r="K30" s="453"/>
      <c r="L30" s="453"/>
      <c r="M30" s="453"/>
      <c r="N30" s="453"/>
      <c r="O30" s="229"/>
      <c r="P30" s="229"/>
      <c r="Q30" s="40"/>
      <c r="R30" s="289" t="s">
        <v>355</v>
      </c>
      <c r="S30" s="453" t="e">
        <f t="shared" si="4"/>
        <v>#DIV/0!</v>
      </c>
      <c r="T30" s="412" t="e">
        <f t="shared" si="5"/>
        <v>#DIV/0!</v>
      </c>
    </row>
    <row r="31" spans="1:20" ht="15" customHeight="1" x14ac:dyDescent="0.25">
      <c r="A31" s="383" t="s">
        <v>22</v>
      </c>
      <c r="B31" s="384" t="str">
        <f>[1]Arkusz1!H31</f>
        <v>Inne koszty operacyjne</v>
      </c>
      <c r="C31" s="40"/>
      <c r="D31" s="40"/>
      <c r="E31" s="412" t="e">
        <f t="shared" si="3"/>
        <v>#DIV/0!</v>
      </c>
      <c r="F31" s="453">
        <f>IF(wskaźniki!$C$30=1,$D31,RZiS!$S31)</f>
        <v>0</v>
      </c>
      <c r="G31" s="453">
        <f>IF(wskaźniki!$C$30=1,$D31,RZiS!$S31)</f>
        <v>0</v>
      </c>
      <c r="H31" s="453">
        <f>IF(wskaźniki!$C$30=1,$D31,RZiS!$S31)</f>
        <v>0</v>
      </c>
      <c r="I31" s="453">
        <f>IF(wskaźniki!$C$30=1,$D31,RZiS!$S31)</f>
        <v>0</v>
      </c>
      <c r="J31" s="453">
        <f>IF(wskaźniki!$C$30=1,$D31,RZiS!$S31)</f>
        <v>0</v>
      </c>
      <c r="K31" s="453">
        <f>IF(wskaźniki!$C$30=1,$D31,RZiS!$S31)</f>
        <v>0</v>
      </c>
      <c r="L31" s="453">
        <f>IF(wskaźniki!$C$30=1,$D31,RZiS!$S31)</f>
        <v>0</v>
      </c>
      <c r="M31" s="453">
        <f>IF(wskaźniki!$C$30=1,$D31,RZiS!$S31)</f>
        <v>0</v>
      </c>
      <c r="N31" s="453">
        <f>IF(wskaźniki!$C$30=1,$D31,RZiS!$S31)</f>
        <v>0</v>
      </c>
      <c r="O31" s="229"/>
      <c r="P31" s="229"/>
      <c r="Q31" s="40"/>
      <c r="R31" s="289" t="s">
        <v>355</v>
      </c>
      <c r="S31" s="453" t="e">
        <f t="shared" si="4"/>
        <v>#DIV/0!</v>
      </c>
      <c r="T31" s="412" t="e">
        <f t="shared" si="5"/>
        <v>#DIV/0!</v>
      </c>
    </row>
    <row r="32" spans="1:20" ht="15" customHeight="1" x14ac:dyDescent="0.25">
      <c r="A32" s="655" t="s">
        <v>32</v>
      </c>
      <c r="B32" s="656" t="str">
        <f>[1]Arkusz1!H32</f>
        <v>Zysk (strata) z działalności operacyjnej (C+D-E)</v>
      </c>
      <c r="C32" s="657">
        <f t="shared" ref="C32" si="18">SUM(C23:C24,-C28)</f>
        <v>0</v>
      </c>
      <c r="D32" s="657">
        <f t="shared" ref="D32:N32" si="19">SUM(D23:D24,-D28)</f>
        <v>0</v>
      </c>
      <c r="E32" s="658" t="e">
        <f t="shared" si="3"/>
        <v>#DIV/0!</v>
      </c>
      <c r="F32" s="657">
        <f>SUM(F23:F24,-F28)</f>
        <v>0</v>
      </c>
      <c r="G32" s="657">
        <f t="shared" si="19"/>
        <v>0</v>
      </c>
      <c r="H32" s="657">
        <f t="shared" si="19"/>
        <v>0</v>
      </c>
      <c r="I32" s="657">
        <f t="shared" si="19"/>
        <v>0</v>
      </c>
      <c r="J32" s="659">
        <f t="shared" si="19"/>
        <v>0</v>
      </c>
      <c r="K32" s="657">
        <f t="shared" si="19"/>
        <v>0</v>
      </c>
      <c r="L32" s="657">
        <f t="shared" si="19"/>
        <v>0</v>
      </c>
      <c r="M32" s="657">
        <f t="shared" si="19"/>
        <v>0</v>
      </c>
      <c r="N32" s="657">
        <f t="shared" si="19"/>
        <v>0</v>
      </c>
      <c r="O32" s="612"/>
      <c r="P32" s="612"/>
      <c r="Q32" s="657">
        <f t="shared" ref="Q32" si="20">SUM(Q23:Q24,-Q28)</f>
        <v>0</v>
      </c>
      <c r="R32" s="660"/>
      <c r="S32" s="657" t="e">
        <f t="shared" si="4"/>
        <v>#DIV/0!</v>
      </c>
      <c r="T32" s="658" t="e">
        <f t="shared" si="5"/>
        <v>#DIV/0!</v>
      </c>
    </row>
    <row r="33" spans="1:20" x14ac:dyDescent="0.25">
      <c r="A33" s="132" t="s">
        <v>33</v>
      </c>
      <c r="B33" s="331" t="str">
        <f>[1]Arkusz1!H33</f>
        <v xml:space="preserve">Przychody finansowe </v>
      </c>
      <c r="C33" s="230"/>
      <c r="D33" s="230"/>
      <c r="E33" s="413" t="e">
        <f t="shared" si="3"/>
        <v>#DIV/0!</v>
      </c>
      <c r="F33" s="33">
        <f>D33</f>
        <v>0</v>
      </c>
      <c r="G33" s="33">
        <f t="shared" ref="G33:N33" si="21">F33</f>
        <v>0</v>
      </c>
      <c r="H33" s="33">
        <f t="shared" si="21"/>
        <v>0</v>
      </c>
      <c r="I33" s="33">
        <f t="shared" si="21"/>
        <v>0</v>
      </c>
      <c r="J33" s="33">
        <f t="shared" si="21"/>
        <v>0</v>
      </c>
      <c r="K33" s="33">
        <f t="shared" si="21"/>
        <v>0</v>
      </c>
      <c r="L33" s="33">
        <f t="shared" si="21"/>
        <v>0</v>
      </c>
      <c r="M33" s="33">
        <f t="shared" si="21"/>
        <v>0</v>
      </c>
      <c r="N33" s="33">
        <f t="shared" si="21"/>
        <v>0</v>
      </c>
      <c r="O33" s="229"/>
      <c r="P33" s="229"/>
      <c r="Q33" s="230"/>
      <c r="R33" s="289" t="s">
        <v>355</v>
      </c>
      <c r="S33" s="455" t="e">
        <f t="shared" si="4"/>
        <v>#DIV/0!</v>
      </c>
      <c r="T33" s="413" t="e">
        <f t="shared" si="5"/>
        <v>#DIV/0!</v>
      </c>
    </row>
    <row r="34" spans="1:20" hidden="1" x14ac:dyDescent="0.25">
      <c r="A34" s="134" t="s">
        <v>20</v>
      </c>
      <c r="B34" s="332" t="str">
        <f>[1]Arkusz1!H34</f>
        <v xml:space="preserve">Dywidendy i udziały w zyskach, w tym: </v>
      </c>
      <c r="C34" s="7"/>
      <c r="D34" s="7"/>
      <c r="E34" s="412" t="e">
        <f t="shared" si="3"/>
        <v>#DIV/0!</v>
      </c>
      <c r="F34" s="7"/>
      <c r="G34" s="7"/>
      <c r="H34" s="7"/>
      <c r="I34" s="7"/>
      <c r="J34" s="8"/>
      <c r="K34" s="7"/>
      <c r="L34" s="7"/>
      <c r="M34" s="7"/>
      <c r="N34" s="7"/>
      <c r="Q34" s="7"/>
      <c r="R34" s="289" t="s">
        <v>355</v>
      </c>
      <c r="S34" s="7" t="e">
        <f t="shared" si="4"/>
        <v>#DIV/0!</v>
      </c>
      <c r="T34" s="412" t="e">
        <f t="shared" si="5"/>
        <v>#DIV/0!</v>
      </c>
    </row>
    <row r="35" spans="1:20" hidden="1" x14ac:dyDescent="0.25">
      <c r="A35" s="134"/>
      <c r="B35" s="332" t="str">
        <f>[1]Arkusz1!H35</f>
        <v xml:space="preserve"> - od jednostek powiązanych</v>
      </c>
      <c r="C35" s="7"/>
      <c r="D35" s="7"/>
      <c r="E35" s="412" t="e">
        <f t="shared" si="3"/>
        <v>#DIV/0!</v>
      </c>
      <c r="F35" s="7"/>
      <c r="G35" s="7"/>
      <c r="H35" s="7"/>
      <c r="I35" s="7"/>
      <c r="J35" s="8"/>
      <c r="K35" s="7"/>
      <c r="L35" s="7"/>
      <c r="M35" s="7"/>
      <c r="N35" s="7"/>
      <c r="Q35" s="7"/>
      <c r="R35" s="289" t="s">
        <v>355</v>
      </c>
      <c r="S35" s="7" t="e">
        <f t="shared" si="4"/>
        <v>#DIV/0!</v>
      </c>
      <c r="T35" s="412" t="e">
        <f t="shared" si="5"/>
        <v>#DIV/0!</v>
      </c>
    </row>
    <row r="36" spans="1:20" hidden="1" x14ac:dyDescent="0.25">
      <c r="A36" s="134" t="s">
        <v>21</v>
      </c>
      <c r="B36" s="332" t="str">
        <f>[1]Arkusz1!H36</f>
        <v>Odsetki, w tym:</v>
      </c>
      <c r="C36" s="7"/>
      <c r="D36" s="7"/>
      <c r="E36" s="412" t="e">
        <f t="shared" si="3"/>
        <v>#DIV/0!</v>
      </c>
      <c r="F36" s="7"/>
      <c r="G36" s="7"/>
      <c r="H36" s="7"/>
      <c r="I36" s="7"/>
      <c r="J36" s="8"/>
      <c r="K36" s="7"/>
      <c r="L36" s="7"/>
      <c r="M36" s="7"/>
      <c r="N36" s="7"/>
      <c r="Q36" s="7"/>
      <c r="R36" s="289" t="s">
        <v>355</v>
      </c>
      <c r="S36" s="7" t="e">
        <f t="shared" si="4"/>
        <v>#DIV/0!</v>
      </c>
      <c r="T36" s="412" t="e">
        <f t="shared" si="5"/>
        <v>#DIV/0!</v>
      </c>
    </row>
    <row r="37" spans="1:20" hidden="1" x14ac:dyDescent="0.25">
      <c r="A37" s="134"/>
      <c r="B37" s="332" t="str">
        <f>[1]Arkusz1!H37</f>
        <v xml:space="preserve"> - od jednostek  powiązanych</v>
      </c>
      <c r="C37" s="7"/>
      <c r="D37" s="7"/>
      <c r="E37" s="412" t="e">
        <f t="shared" si="3"/>
        <v>#DIV/0!</v>
      </c>
      <c r="F37" s="7"/>
      <c r="G37" s="7"/>
      <c r="H37" s="7"/>
      <c r="I37" s="7"/>
      <c r="J37" s="8"/>
      <c r="K37" s="7"/>
      <c r="L37" s="7"/>
      <c r="M37" s="7"/>
      <c r="N37" s="7"/>
      <c r="Q37" s="7"/>
      <c r="R37" s="289" t="s">
        <v>355</v>
      </c>
      <c r="S37" s="7" t="e">
        <f t="shared" si="4"/>
        <v>#DIV/0!</v>
      </c>
      <c r="T37" s="412" t="e">
        <f t="shared" si="5"/>
        <v>#DIV/0!</v>
      </c>
    </row>
    <row r="38" spans="1:20" hidden="1" x14ac:dyDescent="0.25">
      <c r="A38" s="134" t="s">
        <v>22</v>
      </c>
      <c r="B38" s="332" t="str">
        <f>[1]Arkusz1!H38</f>
        <v>Zysk ze zbycia inwestycji</v>
      </c>
      <c r="C38" s="7"/>
      <c r="D38" s="7"/>
      <c r="E38" s="412" t="e">
        <f t="shared" si="3"/>
        <v>#DIV/0!</v>
      </c>
      <c r="F38" s="7"/>
      <c r="G38" s="7"/>
      <c r="H38" s="7"/>
      <c r="I38" s="7"/>
      <c r="J38" s="8"/>
      <c r="K38" s="7"/>
      <c r="L38" s="7"/>
      <c r="M38" s="7"/>
      <c r="N38" s="7"/>
      <c r="Q38" s="7"/>
      <c r="R38" s="289" t="s">
        <v>355</v>
      </c>
      <c r="S38" s="7" t="e">
        <f t="shared" si="4"/>
        <v>#DIV/0!</v>
      </c>
      <c r="T38" s="412" t="e">
        <f t="shared" si="5"/>
        <v>#DIV/0!</v>
      </c>
    </row>
    <row r="39" spans="1:20" hidden="1" x14ac:dyDescent="0.25">
      <c r="A39" s="134" t="s">
        <v>23</v>
      </c>
      <c r="B39" s="332" t="str">
        <f>[1]Arkusz1!H39</f>
        <v>Aktualizacja wartości inwestycji</v>
      </c>
      <c r="C39" s="7"/>
      <c r="D39" s="7"/>
      <c r="E39" s="412" t="e">
        <f t="shared" si="3"/>
        <v>#DIV/0!</v>
      </c>
      <c r="F39" s="26"/>
      <c r="G39" s="26"/>
      <c r="H39" s="26"/>
      <c r="I39" s="26"/>
      <c r="J39" s="26"/>
      <c r="K39" s="26"/>
      <c r="L39" s="26"/>
      <c r="M39" s="26"/>
      <c r="N39" s="135"/>
      <c r="Q39" s="7"/>
      <c r="R39" s="289" t="s">
        <v>355</v>
      </c>
      <c r="S39" s="7" t="e">
        <f t="shared" si="4"/>
        <v>#DIV/0!</v>
      </c>
      <c r="T39" s="412" t="e">
        <f t="shared" si="5"/>
        <v>#DIV/0!</v>
      </c>
    </row>
    <row r="40" spans="1:20" hidden="1" x14ac:dyDescent="0.25">
      <c r="A40" s="134" t="s">
        <v>25</v>
      </c>
      <c r="B40" s="332" t="str">
        <f>[1]Arkusz1!H40</f>
        <v>Inne</v>
      </c>
      <c r="C40" s="7"/>
      <c r="D40" s="7"/>
      <c r="E40" s="412" t="e">
        <f t="shared" si="3"/>
        <v>#DIV/0!</v>
      </c>
      <c r="F40" s="7"/>
      <c r="G40" s="7"/>
      <c r="H40" s="7"/>
      <c r="I40" s="7"/>
      <c r="J40" s="8"/>
      <c r="K40" s="7"/>
      <c r="L40" s="7"/>
      <c r="M40" s="7"/>
      <c r="N40" s="7"/>
      <c r="Q40" s="7"/>
      <c r="R40" s="289" t="s">
        <v>355</v>
      </c>
      <c r="S40" s="7" t="e">
        <f t="shared" si="4"/>
        <v>#DIV/0!</v>
      </c>
      <c r="T40" s="412" t="e">
        <f t="shared" si="5"/>
        <v>#DIV/0!</v>
      </c>
    </row>
    <row r="41" spans="1:20" ht="15" customHeight="1" x14ac:dyDescent="0.25">
      <c r="A41" s="132" t="s">
        <v>34</v>
      </c>
      <c r="B41" s="331" t="str">
        <f>[1]Arkusz1!H41</f>
        <v>Koszty finansowe</v>
      </c>
      <c r="C41" s="33">
        <f>C42+C46+C47+C48</f>
        <v>0</v>
      </c>
      <c r="D41" s="33">
        <f>D42+D46+D47+D48</f>
        <v>0</v>
      </c>
      <c r="E41" s="410" t="e">
        <f t="shared" si="3"/>
        <v>#DIV/0!</v>
      </c>
      <c r="F41" s="33">
        <f t="shared" ref="F41:N41" si="22">F42+F46+F47+F48</f>
        <v>0</v>
      </c>
      <c r="G41" s="33">
        <f t="shared" si="22"/>
        <v>0</v>
      </c>
      <c r="H41" s="33">
        <f t="shared" si="22"/>
        <v>0</v>
      </c>
      <c r="I41" s="33">
        <f t="shared" si="22"/>
        <v>0</v>
      </c>
      <c r="J41" s="34">
        <f t="shared" si="22"/>
        <v>0</v>
      </c>
      <c r="K41" s="33">
        <f t="shared" si="22"/>
        <v>0</v>
      </c>
      <c r="L41" s="33">
        <f t="shared" si="22"/>
        <v>0</v>
      </c>
      <c r="M41" s="33">
        <f t="shared" si="22"/>
        <v>0</v>
      </c>
      <c r="N41" s="33">
        <f t="shared" si="22"/>
        <v>0</v>
      </c>
      <c r="Q41" s="33">
        <f>Q42+Q46+Q47+Q48</f>
        <v>0</v>
      </c>
      <c r="R41" s="289"/>
      <c r="S41" s="33" t="e">
        <f t="shared" si="4"/>
        <v>#DIV/0!</v>
      </c>
      <c r="T41" s="410" t="e">
        <f t="shared" si="5"/>
        <v>#DIV/0!</v>
      </c>
    </row>
    <row r="42" spans="1:20" ht="15" customHeight="1" x14ac:dyDescent="0.25">
      <c r="A42" s="383" t="s">
        <v>20</v>
      </c>
      <c r="B42" s="384" t="str">
        <f>[1]Arkusz1!H42</f>
        <v>Odsetki, w tym:</v>
      </c>
      <c r="C42" s="228">
        <f>C43+C44+C45</f>
        <v>0</v>
      </c>
      <c r="D42" s="228">
        <f>D43+D44+D45</f>
        <v>0</v>
      </c>
      <c r="E42" s="414" t="e">
        <f t="shared" si="3"/>
        <v>#DIV/0!</v>
      </c>
      <c r="F42" s="453">
        <f t="shared" ref="F42:N42" si="23">F43+F44+F45</f>
        <v>0</v>
      </c>
      <c r="G42" s="453">
        <f t="shared" si="23"/>
        <v>0</v>
      </c>
      <c r="H42" s="453">
        <f t="shared" si="23"/>
        <v>0</v>
      </c>
      <c r="I42" s="453">
        <f t="shared" si="23"/>
        <v>0</v>
      </c>
      <c r="J42" s="453">
        <f t="shared" si="23"/>
        <v>0</v>
      </c>
      <c r="K42" s="453">
        <f t="shared" si="23"/>
        <v>0</v>
      </c>
      <c r="L42" s="453">
        <f t="shared" si="23"/>
        <v>0</v>
      </c>
      <c r="M42" s="453">
        <f t="shared" si="23"/>
        <v>0</v>
      </c>
      <c r="N42" s="453">
        <f t="shared" si="23"/>
        <v>0</v>
      </c>
      <c r="Q42" s="228">
        <f>Q43+Q44+Q45</f>
        <v>0</v>
      </c>
      <c r="R42" s="289"/>
      <c r="S42" s="228" t="e">
        <f t="shared" si="4"/>
        <v>#DIV/0!</v>
      </c>
      <c r="T42" s="414" t="e">
        <f t="shared" si="5"/>
        <v>#DIV/0!</v>
      </c>
    </row>
    <row r="43" spans="1:20" ht="15" customHeight="1" x14ac:dyDescent="0.25">
      <c r="A43" s="383"/>
      <c r="B43" s="384" t="str">
        <f>[1]Arkusz1!H43</f>
        <v xml:space="preserve"> - od jednostek powiązanych</v>
      </c>
      <c r="C43" s="7"/>
      <c r="D43" s="7"/>
      <c r="E43" s="412" t="e">
        <f t="shared" si="3"/>
        <v>#DIV/0!</v>
      </c>
      <c r="F43" s="453">
        <f>D43</f>
        <v>0</v>
      </c>
      <c r="G43" s="453">
        <f t="shared" ref="G43:N43" si="24">F43</f>
        <v>0</v>
      </c>
      <c r="H43" s="453">
        <f t="shared" si="24"/>
        <v>0</v>
      </c>
      <c r="I43" s="453">
        <f t="shared" si="24"/>
        <v>0</v>
      </c>
      <c r="J43" s="453">
        <f t="shared" si="24"/>
        <v>0</v>
      </c>
      <c r="K43" s="453">
        <f t="shared" si="24"/>
        <v>0</v>
      </c>
      <c r="L43" s="453">
        <f t="shared" si="24"/>
        <v>0</v>
      </c>
      <c r="M43" s="453">
        <f t="shared" si="24"/>
        <v>0</v>
      </c>
      <c r="N43" s="453">
        <f t="shared" si="24"/>
        <v>0</v>
      </c>
      <c r="Q43" s="7"/>
      <c r="R43" s="289"/>
      <c r="S43" s="7" t="e">
        <f t="shared" si="4"/>
        <v>#DIV/0!</v>
      </c>
      <c r="T43" s="412" t="e">
        <f t="shared" si="5"/>
        <v>#DIV/0!</v>
      </c>
    </row>
    <row r="44" spans="1:20" ht="15" hidden="1" customHeight="1" x14ac:dyDescent="0.25">
      <c r="A44" s="383"/>
      <c r="B44" s="385" t="s">
        <v>381</v>
      </c>
      <c r="C44" s="228"/>
      <c r="D44" s="228"/>
      <c r="E44" s="414" t="e">
        <f t="shared" si="3"/>
        <v>#DIV/0!</v>
      </c>
      <c r="F44" s="453">
        <f>-przepływy!D25</f>
        <v>0</v>
      </c>
      <c r="G44" s="453">
        <f>-przepływy!E25</f>
        <v>0</v>
      </c>
      <c r="H44" s="453">
        <f>-przepływy!F25</f>
        <v>0</v>
      </c>
      <c r="I44" s="453">
        <f>-przepływy!G25</f>
        <v>0</v>
      </c>
      <c r="J44" s="453">
        <f>-przepływy!H25</f>
        <v>0</v>
      </c>
      <c r="K44" s="453">
        <f>-przepływy!I25</f>
        <v>0</v>
      </c>
      <c r="L44" s="453">
        <f>-przepływy!J25</f>
        <v>0</v>
      </c>
      <c r="M44" s="453">
        <f>-przepływy!K25</f>
        <v>0</v>
      </c>
      <c r="N44" s="453">
        <f>-przepływy!L25</f>
        <v>0</v>
      </c>
      <c r="Q44" s="228"/>
      <c r="R44" s="289"/>
      <c r="S44" s="228" t="e">
        <f t="shared" si="4"/>
        <v>#DIV/0!</v>
      </c>
      <c r="T44" s="414" t="e">
        <f t="shared" si="5"/>
        <v>#DIV/0!</v>
      </c>
    </row>
    <row r="45" spans="1:20" x14ac:dyDescent="0.25">
      <c r="A45" s="383"/>
      <c r="B45" s="385" t="s">
        <v>353</v>
      </c>
      <c r="C45" s="40"/>
      <c r="D45" s="40">
        <f>'załącznik nr 1 porównawczy'!B66</f>
        <v>0</v>
      </c>
      <c r="E45" s="412" t="e">
        <f t="shared" si="3"/>
        <v>#DIV/0!</v>
      </c>
      <c r="F45" s="453">
        <f>-'plan sprzedaży i zakupów '!C26</f>
        <v>0</v>
      </c>
      <c r="G45" s="453">
        <f>-'plan sprzedaży i zakupów '!D26</f>
        <v>0</v>
      </c>
      <c r="H45" s="453">
        <f>-'plan sprzedaży i zakupów '!E26</f>
        <v>0</v>
      </c>
      <c r="I45" s="453">
        <f>-'plan sprzedaży i zakupów '!F26</f>
        <v>0</v>
      </c>
      <c r="J45" s="453">
        <f>-'plan sprzedaży i zakupów '!G26</f>
        <v>0</v>
      </c>
      <c r="K45" s="453">
        <f>-'plan sprzedaży i zakupów '!H26</f>
        <v>0</v>
      </c>
      <c r="L45" s="453">
        <f>-'plan sprzedaży i zakupów '!I26</f>
        <v>0</v>
      </c>
      <c r="M45" s="453">
        <f>-'plan sprzedaży i zakupów '!J26</f>
        <v>0</v>
      </c>
      <c r="N45" s="453">
        <f>-'plan sprzedaży i zakupów '!K26</f>
        <v>0</v>
      </c>
      <c r="O45" s="229"/>
      <c r="P45" s="229"/>
      <c r="Q45" s="40"/>
      <c r="R45" s="289" t="s">
        <v>355</v>
      </c>
      <c r="S45" s="453" t="e">
        <f t="shared" si="4"/>
        <v>#DIV/0!</v>
      </c>
      <c r="T45" s="412" t="e">
        <f t="shared" si="5"/>
        <v>#DIV/0!</v>
      </c>
    </row>
    <row r="46" spans="1:20" ht="15" hidden="1" customHeight="1" x14ac:dyDescent="0.25">
      <c r="A46" s="383" t="s">
        <v>21</v>
      </c>
      <c r="B46" s="384" t="str">
        <f>[1]Arkusz1!H44</f>
        <v>Strata ze zbycia inwestycji</v>
      </c>
      <c r="C46" s="40"/>
      <c r="D46" s="40"/>
      <c r="E46" s="412" t="e">
        <f t="shared" si="3"/>
        <v>#DIV/0!</v>
      </c>
      <c r="F46" s="453"/>
      <c r="G46" s="453"/>
      <c r="H46" s="453"/>
      <c r="I46" s="453"/>
      <c r="J46" s="454"/>
      <c r="K46" s="453"/>
      <c r="L46" s="453"/>
      <c r="M46" s="453"/>
      <c r="N46" s="453"/>
      <c r="O46" s="229"/>
      <c r="P46" s="229"/>
      <c r="Q46" s="40"/>
      <c r="R46" s="289" t="s">
        <v>355</v>
      </c>
      <c r="S46" s="453" t="e">
        <f t="shared" si="4"/>
        <v>#DIV/0!</v>
      </c>
      <c r="T46" s="412" t="e">
        <f t="shared" si="5"/>
        <v>#DIV/0!</v>
      </c>
    </row>
    <row r="47" spans="1:20" ht="15" hidden="1" customHeight="1" x14ac:dyDescent="0.25">
      <c r="A47" s="386" t="s">
        <v>22</v>
      </c>
      <c r="B47" s="387" t="str">
        <f>[1]Arkusz1!H45</f>
        <v>Aktualizacja wartości inwestycji</v>
      </c>
      <c r="C47" s="40"/>
      <c r="D47" s="40"/>
      <c r="E47" s="412" t="e">
        <f t="shared" si="3"/>
        <v>#DIV/0!</v>
      </c>
      <c r="F47" s="453"/>
      <c r="G47" s="453"/>
      <c r="H47" s="453"/>
      <c r="I47" s="453"/>
      <c r="J47" s="454"/>
      <c r="K47" s="453"/>
      <c r="L47" s="453"/>
      <c r="M47" s="453"/>
      <c r="N47" s="453"/>
      <c r="O47" s="229"/>
      <c r="P47" s="229"/>
      <c r="Q47" s="40"/>
      <c r="R47" s="289" t="s">
        <v>355</v>
      </c>
      <c r="S47" s="453" t="e">
        <f t="shared" si="4"/>
        <v>#DIV/0!</v>
      </c>
      <c r="T47" s="412" t="e">
        <f t="shared" si="5"/>
        <v>#DIV/0!</v>
      </c>
    </row>
    <row r="48" spans="1:20" x14ac:dyDescent="0.25">
      <c r="A48" s="383" t="s">
        <v>23</v>
      </c>
      <c r="B48" s="384" t="str">
        <f>[1]Arkusz1!H46</f>
        <v>Inne</v>
      </c>
      <c r="C48" s="40"/>
      <c r="D48" s="40"/>
      <c r="E48" s="412" t="e">
        <f t="shared" si="3"/>
        <v>#DIV/0!</v>
      </c>
      <c r="F48" s="453">
        <f>IF(wskaźniki!$C$30=1,$D48,RZiS!$S48)</f>
        <v>0</v>
      </c>
      <c r="G48" s="453">
        <f>IF(wskaźniki!$C$30=1,$D48,RZiS!$S48)</f>
        <v>0</v>
      </c>
      <c r="H48" s="453">
        <f>IF(wskaźniki!$C$30=1,$D48,RZiS!$S48)</f>
        <v>0</v>
      </c>
      <c r="I48" s="453">
        <f>IF(wskaźniki!$C$30=1,$D48,RZiS!$S48)</f>
        <v>0</v>
      </c>
      <c r="J48" s="453">
        <f>IF(wskaźniki!$C$30=1,$D48,RZiS!$S48)</f>
        <v>0</v>
      </c>
      <c r="K48" s="453">
        <f>IF(wskaźniki!$C$30=1,$D48,RZiS!$S48)</f>
        <v>0</v>
      </c>
      <c r="L48" s="453">
        <f>IF(wskaźniki!$C$30=1,$D48,RZiS!$S48)</f>
        <v>0</v>
      </c>
      <c r="M48" s="453">
        <f>IF(wskaźniki!$C$30=1,$D48,RZiS!$S48)</f>
        <v>0</v>
      </c>
      <c r="N48" s="453">
        <f>IF(wskaźniki!$C$30=1,$D48,RZiS!$S48)</f>
        <v>0</v>
      </c>
      <c r="O48" s="229"/>
      <c r="P48" s="229"/>
      <c r="Q48" s="40"/>
      <c r="R48" s="289" t="s">
        <v>355</v>
      </c>
      <c r="S48" s="453" t="e">
        <f t="shared" si="4"/>
        <v>#DIV/0!</v>
      </c>
      <c r="T48" s="412" t="e">
        <f t="shared" si="5"/>
        <v>#DIV/0!</v>
      </c>
    </row>
    <row r="49" spans="1:20" ht="15" customHeight="1" x14ac:dyDescent="0.25">
      <c r="A49" s="655" t="s">
        <v>20</v>
      </c>
      <c r="B49" s="656" t="str">
        <f>[1]Arkusz1!H47</f>
        <v>Zysk (strata) z działalności gospodarczej (F+G-H)</v>
      </c>
      <c r="C49" s="657">
        <f t="shared" ref="C49" si="25">SUM(C32:C33,-C41)</f>
        <v>0</v>
      </c>
      <c r="D49" s="657">
        <f t="shared" ref="D49:N49" si="26">SUM(D32:D33,-D41)</f>
        <v>0</v>
      </c>
      <c r="E49" s="658" t="e">
        <f t="shared" si="3"/>
        <v>#DIV/0!</v>
      </c>
      <c r="F49" s="657">
        <f t="shared" si="26"/>
        <v>0</v>
      </c>
      <c r="G49" s="657">
        <f t="shared" si="26"/>
        <v>0</v>
      </c>
      <c r="H49" s="657">
        <f t="shared" si="26"/>
        <v>0</v>
      </c>
      <c r="I49" s="657">
        <f t="shared" si="26"/>
        <v>0</v>
      </c>
      <c r="J49" s="659">
        <f t="shared" si="26"/>
        <v>0</v>
      </c>
      <c r="K49" s="657">
        <f t="shared" si="26"/>
        <v>0</v>
      </c>
      <c r="L49" s="657">
        <f t="shared" si="26"/>
        <v>0</v>
      </c>
      <c r="M49" s="657">
        <f t="shared" si="26"/>
        <v>0</v>
      </c>
      <c r="N49" s="657">
        <f t="shared" si="26"/>
        <v>0</v>
      </c>
      <c r="O49" s="612"/>
      <c r="P49" s="612"/>
      <c r="Q49" s="657">
        <f t="shared" ref="Q49" si="27">SUM(Q32:Q33,-Q41)</f>
        <v>0</v>
      </c>
      <c r="R49" s="660"/>
      <c r="S49" s="657" t="e">
        <f t="shared" si="4"/>
        <v>#DIV/0!</v>
      </c>
      <c r="T49" s="658" t="e">
        <f t="shared" si="5"/>
        <v>#DIV/0!</v>
      </c>
    </row>
    <row r="50" spans="1:20" ht="15" customHeight="1" x14ac:dyDescent="0.25">
      <c r="A50" s="132" t="s">
        <v>35</v>
      </c>
      <c r="B50" s="331" t="str">
        <f>[1]Arkusz1!H48</f>
        <v>Wynik zdarzeń nadzwyczajnych (J.I.-J.II.)</v>
      </c>
      <c r="C50" s="33">
        <f t="shared" ref="C50" si="28">SUM(C51,-C52)</f>
        <v>0</v>
      </c>
      <c r="D50" s="33">
        <f t="shared" ref="D50:N50" si="29">SUM(D51,-D52)</f>
        <v>0</v>
      </c>
      <c r="E50" s="410" t="e">
        <f t="shared" si="3"/>
        <v>#DIV/0!</v>
      </c>
      <c r="F50" s="33">
        <f>SUM(F51,-F52)</f>
        <v>0</v>
      </c>
      <c r="G50" s="33">
        <f t="shared" si="29"/>
        <v>0</v>
      </c>
      <c r="H50" s="33">
        <f t="shared" si="29"/>
        <v>0</v>
      </c>
      <c r="I50" s="33">
        <f t="shared" si="29"/>
        <v>0</v>
      </c>
      <c r="J50" s="34">
        <f t="shared" si="29"/>
        <v>0</v>
      </c>
      <c r="K50" s="33">
        <f t="shared" si="29"/>
        <v>0</v>
      </c>
      <c r="L50" s="33">
        <f t="shared" si="29"/>
        <v>0</v>
      </c>
      <c r="M50" s="33">
        <f t="shared" si="29"/>
        <v>0</v>
      </c>
      <c r="N50" s="33">
        <f t="shared" si="29"/>
        <v>0</v>
      </c>
      <c r="Q50" s="33">
        <f t="shared" ref="Q50" si="30">SUM(Q51,-Q52)</f>
        <v>0</v>
      </c>
      <c r="R50" s="289"/>
      <c r="S50" s="33" t="e">
        <f t="shared" si="4"/>
        <v>#DIV/0!</v>
      </c>
      <c r="T50" s="410" t="e">
        <f t="shared" si="5"/>
        <v>#DIV/0!</v>
      </c>
    </row>
    <row r="51" spans="1:20" ht="15" customHeight="1" x14ac:dyDescent="0.25">
      <c r="A51" s="383" t="s">
        <v>20</v>
      </c>
      <c r="B51" s="384" t="str">
        <f>[1]Arkusz1!H49</f>
        <v>Zyski nadzwyczajne</v>
      </c>
      <c r="C51" s="40"/>
      <c r="D51" s="40"/>
      <c r="E51" s="412" t="e">
        <f t="shared" si="3"/>
        <v>#DIV/0!</v>
      </c>
      <c r="F51" s="453"/>
      <c r="G51" s="453"/>
      <c r="H51" s="453"/>
      <c r="I51" s="453"/>
      <c r="J51" s="453"/>
      <c r="K51" s="453"/>
      <c r="L51" s="453"/>
      <c r="M51" s="453"/>
      <c r="N51" s="453"/>
      <c r="O51" s="229"/>
      <c r="P51" s="229"/>
      <c r="Q51" s="40"/>
      <c r="R51" s="289" t="s">
        <v>355</v>
      </c>
      <c r="S51" s="453" t="e">
        <f t="shared" si="4"/>
        <v>#DIV/0!</v>
      </c>
      <c r="T51" s="412" t="e">
        <f t="shared" si="5"/>
        <v>#DIV/0!</v>
      </c>
    </row>
    <row r="52" spans="1:20" ht="15" customHeight="1" x14ac:dyDescent="0.25">
      <c r="A52" s="383" t="s">
        <v>21</v>
      </c>
      <c r="B52" s="384" t="str">
        <f>[1]Arkusz1!H50</f>
        <v>Straty nadzwyczajne</v>
      </c>
      <c r="C52" s="40"/>
      <c r="D52" s="40"/>
      <c r="E52" s="412" t="e">
        <f t="shared" si="3"/>
        <v>#DIV/0!</v>
      </c>
      <c r="F52" s="453"/>
      <c r="G52" s="453"/>
      <c r="H52" s="453"/>
      <c r="I52" s="453"/>
      <c r="J52" s="453"/>
      <c r="K52" s="453"/>
      <c r="L52" s="453"/>
      <c r="M52" s="453"/>
      <c r="N52" s="453"/>
      <c r="O52" s="229"/>
      <c r="P52" s="229"/>
      <c r="Q52" s="40"/>
      <c r="R52" s="289" t="s">
        <v>355</v>
      </c>
      <c r="S52" s="453" t="e">
        <f t="shared" si="4"/>
        <v>#DIV/0!</v>
      </c>
      <c r="T52" s="412" t="e">
        <f t="shared" si="5"/>
        <v>#DIV/0!</v>
      </c>
    </row>
    <row r="53" spans="1:20" ht="15" customHeight="1" x14ac:dyDescent="0.25">
      <c r="A53" s="655" t="s">
        <v>36</v>
      </c>
      <c r="B53" s="656" t="str">
        <f>[1]Arkusz1!H51</f>
        <v>Zysk (strata) brutto (I+/- J)</v>
      </c>
      <c r="C53" s="657">
        <f t="shared" ref="C53" si="31">SUM(C49,C50)</f>
        <v>0</v>
      </c>
      <c r="D53" s="657">
        <f t="shared" ref="D53:N53" si="32">SUM(D49,D50)</f>
        <v>0</v>
      </c>
      <c r="E53" s="658" t="e">
        <f t="shared" si="3"/>
        <v>#DIV/0!</v>
      </c>
      <c r="F53" s="657">
        <f>SUM(F49,F50)</f>
        <v>0</v>
      </c>
      <c r="G53" s="657">
        <f t="shared" si="32"/>
        <v>0</v>
      </c>
      <c r="H53" s="657">
        <f t="shared" si="32"/>
        <v>0</v>
      </c>
      <c r="I53" s="657">
        <f t="shared" si="32"/>
        <v>0</v>
      </c>
      <c r="J53" s="659">
        <f t="shared" si="32"/>
        <v>0</v>
      </c>
      <c r="K53" s="657">
        <f t="shared" si="32"/>
        <v>0</v>
      </c>
      <c r="L53" s="657">
        <f t="shared" si="32"/>
        <v>0</v>
      </c>
      <c r="M53" s="657">
        <f t="shared" si="32"/>
        <v>0</v>
      </c>
      <c r="N53" s="657">
        <f t="shared" si="32"/>
        <v>0</v>
      </c>
      <c r="O53" s="612"/>
      <c r="P53" s="612"/>
      <c r="Q53" s="657">
        <f t="shared" ref="Q53" si="33">SUM(Q49,Q50)</f>
        <v>0</v>
      </c>
      <c r="R53" s="660"/>
      <c r="S53" s="657" t="e">
        <f t="shared" si="4"/>
        <v>#DIV/0!</v>
      </c>
      <c r="T53" s="658" t="e">
        <f t="shared" si="5"/>
        <v>#DIV/0!</v>
      </c>
    </row>
    <row r="54" spans="1:20" ht="15" customHeight="1" x14ac:dyDescent="0.25">
      <c r="A54" s="132" t="s">
        <v>37</v>
      </c>
      <c r="B54" s="331" t="str">
        <f>[1]Arkusz1!H52</f>
        <v>Podatek dochodowy</v>
      </c>
      <c r="C54" s="230"/>
      <c r="D54" s="230"/>
      <c r="E54" s="413" t="e">
        <f t="shared" si="3"/>
        <v>#DIV/0!</v>
      </c>
      <c r="F54" s="33">
        <f t="shared" ref="F54:N54" si="34">IF(F53&gt;0,$E$2*F53,0)</f>
        <v>0</v>
      </c>
      <c r="G54" s="33">
        <f t="shared" si="34"/>
        <v>0</v>
      </c>
      <c r="H54" s="33">
        <f t="shared" si="34"/>
        <v>0</v>
      </c>
      <c r="I54" s="33">
        <f t="shared" si="34"/>
        <v>0</v>
      </c>
      <c r="J54" s="33">
        <f t="shared" si="34"/>
        <v>0</v>
      </c>
      <c r="K54" s="33">
        <f t="shared" si="34"/>
        <v>0</v>
      </c>
      <c r="L54" s="33">
        <f t="shared" si="34"/>
        <v>0</v>
      </c>
      <c r="M54" s="33">
        <f t="shared" si="34"/>
        <v>0</v>
      </c>
      <c r="N54" s="33">
        <f t="shared" si="34"/>
        <v>0</v>
      </c>
      <c r="O54" s="229"/>
      <c r="P54" s="229"/>
      <c r="Q54" s="230"/>
      <c r="R54" s="289" t="s">
        <v>355</v>
      </c>
      <c r="S54" s="456" t="e">
        <f t="shared" si="4"/>
        <v>#DIV/0!</v>
      </c>
      <c r="T54" s="413" t="e">
        <f t="shared" si="5"/>
        <v>#DIV/0!</v>
      </c>
    </row>
    <row r="55" spans="1:20" ht="15" customHeight="1" x14ac:dyDescent="0.25">
      <c r="A55" s="132" t="s">
        <v>38</v>
      </c>
      <c r="B55" s="331" t="str">
        <f>[1]Arkusz1!H53</f>
        <v>Pozostałe obowiązkowe zmniejszenia zysku (zwiększenia straty)</v>
      </c>
      <c r="C55" s="230"/>
      <c r="D55" s="230"/>
      <c r="E55" s="413" t="e">
        <f t="shared" si="3"/>
        <v>#DIV/0!</v>
      </c>
      <c r="F55" s="33"/>
      <c r="G55" s="33"/>
      <c r="H55" s="33"/>
      <c r="I55" s="33"/>
      <c r="J55" s="34"/>
      <c r="K55" s="33"/>
      <c r="L55" s="33"/>
      <c r="M55" s="33"/>
      <c r="N55" s="33"/>
      <c r="O55" s="229"/>
      <c r="P55" s="229"/>
      <c r="Q55" s="230"/>
      <c r="R55" s="289" t="s">
        <v>355</v>
      </c>
      <c r="S55" s="456" t="e">
        <f t="shared" si="4"/>
        <v>#DIV/0!</v>
      </c>
      <c r="T55" s="413" t="e">
        <f t="shared" si="5"/>
        <v>#DIV/0!</v>
      </c>
    </row>
    <row r="56" spans="1:20" ht="15" customHeight="1" x14ac:dyDescent="0.25">
      <c r="A56" s="655" t="s">
        <v>39</v>
      </c>
      <c r="B56" s="656" t="str">
        <f>[1]Arkusz1!H54</f>
        <v>Zysk (strata) netto (K-L-M)</v>
      </c>
      <c r="C56" s="657">
        <f t="shared" ref="C56" si="35">SUM(C53,-C54,-C55)</f>
        <v>0</v>
      </c>
      <c r="D56" s="657">
        <f t="shared" ref="D56:N56" si="36">SUM(D53,-D54,-D55)</f>
        <v>0</v>
      </c>
      <c r="E56" s="658" t="e">
        <f t="shared" si="3"/>
        <v>#DIV/0!</v>
      </c>
      <c r="F56" s="657">
        <f>SUM(F53,-F54,-F55)</f>
        <v>0</v>
      </c>
      <c r="G56" s="657">
        <f t="shared" si="36"/>
        <v>0</v>
      </c>
      <c r="H56" s="657">
        <f t="shared" si="36"/>
        <v>0</v>
      </c>
      <c r="I56" s="657">
        <f t="shared" si="36"/>
        <v>0</v>
      </c>
      <c r="J56" s="659">
        <f t="shared" si="36"/>
        <v>0</v>
      </c>
      <c r="K56" s="657">
        <f t="shared" si="36"/>
        <v>0</v>
      </c>
      <c r="L56" s="657">
        <f t="shared" si="36"/>
        <v>0</v>
      </c>
      <c r="M56" s="657">
        <f t="shared" si="36"/>
        <v>0</v>
      </c>
      <c r="N56" s="657">
        <f t="shared" si="36"/>
        <v>0</v>
      </c>
      <c r="O56" s="612"/>
      <c r="P56" s="612"/>
      <c r="Q56" s="657">
        <f t="shared" ref="Q56" si="37">SUM(Q53,-Q54,-Q55)</f>
        <v>0</v>
      </c>
      <c r="R56" s="660"/>
      <c r="S56" s="657" t="e">
        <f t="shared" si="4"/>
        <v>#DIV/0!</v>
      </c>
      <c r="T56" s="658" t="e">
        <f t="shared" si="5"/>
        <v>#DIV/0!</v>
      </c>
    </row>
    <row r="60" spans="1:20" x14ac:dyDescent="0.25">
      <c r="B60" s="487"/>
      <c r="C60" s="488"/>
      <c r="D60" s="488"/>
    </row>
    <row r="61" spans="1:20" x14ac:dyDescent="0.25">
      <c r="B61" s="489"/>
      <c r="C61" s="490"/>
      <c r="D61" s="490"/>
    </row>
  </sheetData>
  <sheetProtection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showGridLines="0" topLeftCell="A2" zoomScale="95" zoomScaleNormal="95" zoomScaleSheetLayoutView="118" workbookViewId="0">
      <selection activeCell="R24" sqref="R24"/>
    </sheetView>
  </sheetViews>
  <sheetFormatPr defaultColWidth="9.140625" defaultRowHeight="15" outlineLevelCol="3" x14ac:dyDescent="0.25"/>
  <cols>
    <col min="1" max="1" width="3.7109375" style="229" bestFit="1" customWidth="1"/>
    <col min="2" max="2" width="41.42578125" style="229" bestFit="1" customWidth="1"/>
    <col min="3" max="3" width="12.7109375" style="229" bestFit="1" customWidth="1"/>
    <col min="4" max="4" width="13.7109375" style="229" customWidth="1" outlineLevel="1"/>
    <col min="5" max="6" width="12.7109375" style="229" customWidth="1" outlineLevel="1"/>
    <col min="7" max="12" width="12.42578125" style="229" hidden="1" customWidth="1" outlineLevel="3"/>
    <col min="13" max="13" width="11.85546875" style="229" customWidth="1"/>
    <col min="14" max="16384" width="9.140625" style="229"/>
  </cols>
  <sheetData>
    <row r="1" spans="1:14" ht="63.75" hidden="1" customHeight="1" x14ac:dyDescent="0.25">
      <c r="B1" s="486"/>
    </row>
    <row r="2" spans="1:14" ht="18.75" customHeight="1" thickBot="1" x14ac:dyDescent="0.3">
      <c r="A2" s="334"/>
      <c r="B2" s="335" t="s">
        <v>40</v>
      </c>
      <c r="C2" s="336"/>
      <c r="D2" s="337"/>
      <c r="E2" s="337"/>
      <c r="F2" s="337"/>
      <c r="G2" s="337"/>
      <c r="H2" s="337"/>
      <c r="I2" s="337"/>
      <c r="J2" s="337"/>
      <c r="K2" s="337"/>
      <c r="L2" s="338"/>
      <c r="M2" s="336"/>
    </row>
    <row r="3" spans="1:14" ht="6" hidden="1" customHeight="1" thickBot="1" x14ac:dyDescent="0.3">
      <c r="A3" s="339"/>
      <c r="B3" s="340"/>
      <c r="C3" s="341"/>
      <c r="D3" s="341"/>
      <c r="E3" s="341"/>
      <c r="F3" s="341"/>
      <c r="G3" s="341"/>
      <c r="H3" s="341"/>
      <c r="I3" s="341"/>
      <c r="J3" s="341"/>
      <c r="K3" s="341"/>
      <c r="L3" s="342"/>
      <c r="M3" s="341"/>
    </row>
    <row r="4" spans="1:14" ht="12" hidden="1" customHeight="1" thickBot="1" x14ac:dyDescent="0.3">
      <c r="A4" s="339"/>
      <c r="B4" s="340"/>
      <c r="C4" s="341"/>
      <c r="D4" s="341"/>
      <c r="E4" s="341"/>
      <c r="F4" s="341"/>
      <c r="G4" s="341"/>
      <c r="H4" s="341"/>
      <c r="I4" s="341"/>
      <c r="J4" s="341"/>
      <c r="K4" s="341"/>
      <c r="L4" s="342"/>
      <c r="M4" s="341"/>
    </row>
    <row r="5" spans="1:14" ht="26.25" thickBot="1" x14ac:dyDescent="0.3">
      <c r="A5" s="363"/>
      <c r="B5" s="364" t="str">
        <f>[1]Arkusz1!B4</f>
        <v>TREŚĆ</v>
      </c>
      <c r="C5" s="365">
        <f>RZiS!D6</f>
        <v>2023</v>
      </c>
      <c r="D5" s="365">
        <f>RZiS!F6</f>
        <v>2024</v>
      </c>
      <c r="E5" s="365">
        <f>RZiS!G6</f>
        <v>2025</v>
      </c>
      <c r="F5" s="365">
        <f>RZiS!H6</f>
        <v>2026</v>
      </c>
      <c r="G5" s="365" t="s">
        <v>65</v>
      </c>
      <c r="H5" s="365" t="s">
        <v>66</v>
      </c>
      <c r="I5" s="365" t="s">
        <v>312</v>
      </c>
      <c r="J5" s="365" t="s">
        <v>313</v>
      </c>
      <c r="K5" s="366" t="s">
        <v>314</v>
      </c>
      <c r="L5" s="367" t="s">
        <v>315</v>
      </c>
      <c r="M5" s="365" t="s">
        <v>364</v>
      </c>
    </row>
    <row r="6" spans="1:14" ht="12" customHeight="1" thickBot="1" x14ac:dyDescent="0.3">
      <c r="A6" s="649" t="s">
        <v>19</v>
      </c>
      <c r="B6" s="650" t="str">
        <f>[1]Arkusz1!B6</f>
        <v>AKTYWA TRWAŁE</v>
      </c>
      <c r="C6" s="651">
        <f>SUM(C7,C12,C21,C24,C39)</f>
        <v>0</v>
      </c>
      <c r="D6" s="651">
        <f t="shared" ref="D6:K6" si="0">SUM(D7,D12,D21,D24,D39)</f>
        <v>0</v>
      </c>
      <c r="E6" s="651">
        <f t="shared" si="0"/>
        <v>0</v>
      </c>
      <c r="F6" s="651">
        <f t="shared" si="0"/>
        <v>0</v>
      </c>
      <c r="G6" s="651">
        <f t="shared" si="0"/>
        <v>0</v>
      </c>
      <c r="H6" s="651">
        <f t="shared" si="0"/>
        <v>0</v>
      </c>
      <c r="I6" s="651">
        <f t="shared" si="0"/>
        <v>0</v>
      </c>
      <c r="J6" s="651">
        <f t="shared" si="0"/>
        <v>0</v>
      </c>
      <c r="K6" s="652">
        <f t="shared" si="0"/>
        <v>0</v>
      </c>
      <c r="L6" s="651">
        <f t="shared" ref="L6" si="1">SUM(L7,L12,L21,L24,L39)</f>
        <v>0</v>
      </c>
      <c r="M6" s="651">
        <f>SUM(M7,M12,M21,M24,M39)</f>
        <v>0</v>
      </c>
    </row>
    <row r="7" spans="1:14" ht="12.75" customHeight="1" x14ac:dyDescent="0.25">
      <c r="A7" s="388" t="s">
        <v>20</v>
      </c>
      <c r="B7" s="389" t="s">
        <v>291</v>
      </c>
      <c r="C7" s="583">
        <f>'załącznik nr 1 porównawczy'!B72</f>
        <v>0</v>
      </c>
      <c r="D7" s="461">
        <f>C7+'Parametry nakładów i pożyczki'!C3-'Parametry nakładów i pożyczki'!D42</f>
        <v>0</v>
      </c>
      <c r="E7" s="461">
        <f>D7-'Parametry nakładów i pożyczki'!E42</f>
        <v>0</v>
      </c>
      <c r="F7" s="461">
        <f>E7-'Parametry nakładów i pożyczki'!F42</f>
        <v>0</v>
      </c>
      <c r="G7" s="461">
        <f>F7-'Parametry nakładów i pożyczki'!G42</f>
        <v>0</v>
      </c>
      <c r="H7" s="461">
        <f>G7-'Parametry nakładów i pożyczki'!H42</f>
        <v>0</v>
      </c>
      <c r="I7" s="461">
        <f>H7-'Parametry nakładów i pożyczki'!I42</f>
        <v>0</v>
      </c>
      <c r="J7" s="461">
        <f>I7-'Parametry nakładów i pożyczki'!J42</f>
        <v>0</v>
      </c>
      <c r="K7" s="461">
        <f>J7-'Parametry nakładów i pożyczki'!K42</f>
        <v>0</v>
      </c>
      <c r="L7" s="461">
        <f>K7-'Parametry nakładów i pożyczki'!L42</f>
        <v>0</v>
      </c>
      <c r="M7" s="583">
        <f>'załącznik nr 1 porównawczy'!D72</f>
        <v>0</v>
      </c>
      <c r="N7" s="346" t="s">
        <v>391</v>
      </c>
    </row>
    <row r="8" spans="1:14" hidden="1" x14ac:dyDescent="0.25">
      <c r="A8" s="390"/>
      <c r="B8" s="391"/>
      <c r="C8" s="584"/>
      <c r="D8" s="462"/>
      <c r="E8" s="462"/>
      <c r="F8" s="462"/>
      <c r="G8" s="462"/>
      <c r="H8" s="462"/>
      <c r="I8" s="462"/>
      <c r="J8" s="462"/>
      <c r="K8" s="463"/>
      <c r="L8" s="462"/>
      <c r="M8" s="584"/>
    </row>
    <row r="9" spans="1:14" hidden="1" x14ac:dyDescent="0.25">
      <c r="A9" s="390"/>
      <c r="B9" s="391"/>
      <c r="C9" s="584"/>
      <c r="D9" s="462"/>
      <c r="E9" s="462"/>
      <c r="F9" s="462"/>
      <c r="G9" s="462"/>
      <c r="H9" s="462"/>
      <c r="I9" s="462"/>
      <c r="J9" s="462"/>
      <c r="K9" s="463"/>
      <c r="L9" s="462"/>
      <c r="M9" s="584"/>
    </row>
    <row r="10" spans="1:14" hidden="1" x14ac:dyDescent="0.25">
      <c r="A10" s="390"/>
      <c r="B10" s="391"/>
      <c r="C10" s="584"/>
      <c r="D10" s="462"/>
      <c r="E10" s="462"/>
      <c r="F10" s="462"/>
      <c r="G10" s="462"/>
      <c r="H10" s="462"/>
      <c r="I10" s="462"/>
      <c r="J10" s="462"/>
      <c r="K10" s="463"/>
      <c r="L10" s="462"/>
      <c r="M10" s="584"/>
    </row>
    <row r="11" spans="1:14" hidden="1" x14ac:dyDescent="0.25">
      <c r="A11" s="390"/>
      <c r="B11" s="391"/>
      <c r="C11" s="584"/>
      <c r="D11" s="462"/>
      <c r="E11" s="462"/>
      <c r="F11" s="462"/>
      <c r="G11" s="462"/>
      <c r="H11" s="462"/>
      <c r="I11" s="462"/>
      <c r="J11" s="462"/>
      <c r="K11" s="463"/>
      <c r="L11" s="462"/>
      <c r="M11" s="584"/>
    </row>
    <row r="12" spans="1:14" ht="12" customHeight="1" x14ac:dyDescent="0.25">
      <c r="A12" s="388" t="s">
        <v>21</v>
      </c>
      <c r="B12" s="389" t="s">
        <v>342</v>
      </c>
      <c r="C12" s="585">
        <f>C13</f>
        <v>0</v>
      </c>
      <c r="D12" s="461">
        <f t="shared" ref="D12:K12" si="2">SUM(D13,D19,D20)</f>
        <v>0</v>
      </c>
      <c r="E12" s="461">
        <f t="shared" si="2"/>
        <v>0</v>
      </c>
      <c r="F12" s="461">
        <f t="shared" si="2"/>
        <v>0</v>
      </c>
      <c r="G12" s="461">
        <f t="shared" si="2"/>
        <v>0</v>
      </c>
      <c r="H12" s="461">
        <f t="shared" si="2"/>
        <v>0</v>
      </c>
      <c r="I12" s="461">
        <f t="shared" si="2"/>
        <v>0</v>
      </c>
      <c r="J12" s="461">
        <f t="shared" si="2"/>
        <v>0</v>
      </c>
      <c r="K12" s="461">
        <f t="shared" si="2"/>
        <v>0</v>
      </c>
      <c r="L12" s="461">
        <f t="shared" ref="L12" si="3">SUM(L13,L19,L20)</f>
        <v>0</v>
      </c>
      <c r="M12" s="585">
        <f>M13</f>
        <v>0</v>
      </c>
      <c r="N12" s="346" t="s">
        <v>391</v>
      </c>
    </row>
    <row r="13" spans="1:14" ht="12" hidden="1" customHeight="1" x14ac:dyDescent="0.25">
      <c r="A13" s="390" t="s">
        <v>41</v>
      </c>
      <c r="B13" s="391" t="str">
        <f>[1]Arkusz1!B13</f>
        <v>Środki trwałe</v>
      </c>
      <c r="C13" s="344">
        <f>SUM(C14:C18)</f>
        <v>0</v>
      </c>
      <c r="D13" s="464">
        <f t="shared" ref="D13:K13" si="4">SUM(D14:D18)</f>
        <v>0</v>
      </c>
      <c r="E13" s="464">
        <f t="shared" si="4"/>
        <v>0</v>
      </c>
      <c r="F13" s="464">
        <f t="shared" si="4"/>
        <v>0</v>
      </c>
      <c r="G13" s="464">
        <f t="shared" si="4"/>
        <v>0</v>
      </c>
      <c r="H13" s="464">
        <f t="shared" si="4"/>
        <v>0</v>
      </c>
      <c r="I13" s="464">
        <f t="shared" si="4"/>
        <v>0</v>
      </c>
      <c r="J13" s="464">
        <f t="shared" si="4"/>
        <v>0</v>
      </c>
      <c r="K13" s="465">
        <f t="shared" si="4"/>
        <v>0</v>
      </c>
      <c r="L13" s="464">
        <f t="shared" ref="L13" si="5">SUM(L14:L18)</f>
        <v>0</v>
      </c>
      <c r="M13" s="344">
        <f>SUM(M14:M18)</f>
        <v>0</v>
      </c>
    </row>
    <row r="14" spans="1:14" ht="12" hidden="1" customHeight="1" x14ac:dyDescent="0.25">
      <c r="A14" s="390" t="s">
        <v>43</v>
      </c>
      <c r="B14" s="391" t="str">
        <f>[1]Arkusz1!B14</f>
        <v>grunty (w tym prawo użytkowania wieczystego gruntu)</v>
      </c>
      <c r="C14" s="345">
        <f>'Parametry nakładów i pożyczki'!C33</f>
        <v>0</v>
      </c>
      <c r="D14" s="462">
        <f>C14+'Parametry nakładów i pożyczki'!C6</f>
        <v>0</v>
      </c>
      <c r="E14" s="462">
        <f>D14</f>
        <v>0</v>
      </c>
      <c r="F14" s="462">
        <f t="shared" ref="F14:L14" si="6">E14</f>
        <v>0</v>
      </c>
      <c r="G14" s="462">
        <f t="shared" si="6"/>
        <v>0</v>
      </c>
      <c r="H14" s="462">
        <f t="shared" si="6"/>
        <v>0</v>
      </c>
      <c r="I14" s="462">
        <f t="shared" si="6"/>
        <v>0</v>
      </c>
      <c r="J14" s="462">
        <f t="shared" si="6"/>
        <v>0</v>
      </c>
      <c r="K14" s="462">
        <f t="shared" si="6"/>
        <v>0</v>
      </c>
      <c r="L14" s="462">
        <f t="shared" si="6"/>
        <v>0</v>
      </c>
      <c r="M14" s="345">
        <f>'załącznik nr 1 porównawczy'!D73</f>
        <v>0</v>
      </c>
    </row>
    <row r="15" spans="1:14" ht="12" hidden="1" customHeight="1" x14ac:dyDescent="0.25">
      <c r="A15" s="390" t="s">
        <v>44</v>
      </c>
      <c r="B15" s="391" t="str">
        <f>[1]Arkusz1!B15</f>
        <v xml:space="preserve">budynki, lokale i obiekty inżynierii lądowej i wodnej </v>
      </c>
      <c r="C15" s="345">
        <f>'Parametry nakładów i pożyczki'!C34</f>
        <v>0</v>
      </c>
      <c r="D15" s="462">
        <f>'Parametry nakładów i pożyczki'!C34+'Parametry nakładów i pożyczki'!C9-'Parametry nakładów i pożyczki'!D44</f>
        <v>0</v>
      </c>
      <c r="E15" s="462">
        <f>D15-'Parametry nakładów i pożyczki'!E44</f>
        <v>0</v>
      </c>
      <c r="F15" s="462">
        <f>E15-'Parametry nakładów i pożyczki'!F44</f>
        <v>0</v>
      </c>
      <c r="G15" s="462">
        <f>F15-'Parametry nakładów i pożyczki'!G44</f>
        <v>0</v>
      </c>
      <c r="H15" s="462">
        <f>G15-'Parametry nakładów i pożyczki'!H44</f>
        <v>0</v>
      </c>
      <c r="I15" s="462">
        <f>H15-'Parametry nakładów i pożyczki'!I44</f>
        <v>0</v>
      </c>
      <c r="J15" s="462">
        <f>I15-'Parametry nakładów i pożyczki'!J44</f>
        <v>0</v>
      </c>
      <c r="K15" s="462">
        <f>J15-'Parametry nakładów i pożyczki'!K44</f>
        <v>0</v>
      </c>
      <c r="L15" s="462">
        <f>K15-'Parametry nakładów i pożyczki'!L44</f>
        <v>0</v>
      </c>
      <c r="M15" s="345">
        <f>'załącznik nr 1 porównawczy'!D74</f>
        <v>0</v>
      </c>
    </row>
    <row r="16" spans="1:14" ht="12" hidden="1" customHeight="1" x14ac:dyDescent="0.25">
      <c r="A16" s="390" t="s">
        <v>45</v>
      </c>
      <c r="B16" s="391" t="str">
        <f>[1]Arkusz1!B16</f>
        <v xml:space="preserve">urządzenia  techniczne i maszyny </v>
      </c>
      <c r="C16" s="345">
        <f>'Parametry nakładów i pożyczki'!C35</f>
        <v>0</v>
      </c>
      <c r="D16" s="462">
        <f>'Parametry nakładów i pożyczki'!C35+'Parametry nakładów i pożyczki'!C12-'Parametry nakładów i pożyczki'!D45</f>
        <v>0</v>
      </c>
      <c r="E16" s="462">
        <f>D16-'Parametry nakładów i pożyczki'!E45</f>
        <v>0</v>
      </c>
      <c r="F16" s="462">
        <f>E16-'Parametry nakładów i pożyczki'!F45</f>
        <v>0</v>
      </c>
      <c r="G16" s="462">
        <f>F16-'Parametry nakładów i pożyczki'!G45</f>
        <v>0</v>
      </c>
      <c r="H16" s="462">
        <f>G16-'Parametry nakładów i pożyczki'!H45</f>
        <v>0</v>
      </c>
      <c r="I16" s="462">
        <f>H16-'Parametry nakładów i pożyczki'!I45</f>
        <v>0</v>
      </c>
      <c r="J16" s="462">
        <f>I16-'Parametry nakładów i pożyczki'!J45</f>
        <v>0</v>
      </c>
      <c r="K16" s="462">
        <f>J16-'Parametry nakładów i pożyczki'!K45</f>
        <v>0</v>
      </c>
      <c r="L16" s="462">
        <f>K16-'Parametry nakładów i pożyczki'!L45</f>
        <v>0</v>
      </c>
      <c r="M16" s="345">
        <f>'załącznik nr 1 porównawczy'!D75</f>
        <v>0</v>
      </c>
      <c r="N16" s="346"/>
    </row>
    <row r="17" spans="1:14" ht="12" hidden="1" customHeight="1" x14ac:dyDescent="0.25">
      <c r="A17" s="390" t="s">
        <v>46</v>
      </c>
      <c r="B17" s="391" t="str">
        <f>[1]Arkusz1!B17</f>
        <v>środki transportu</v>
      </c>
      <c r="C17" s="345">
        <f>'Parametry nakładów i pożyczki'!C36</f>
        <v>0</v>
      </c>
      <c r="D17" s="462">
        <f>'Parametry nakładów i pożyczki'!C16+'Parametry nakładów i pożyczki'!C36-'Parametry nakładów i pożyczki'!D46</f>
        <v>0</v>
      </c>
      <c r="E17" s="462">
        <f>D17-'Parametry nakładów i pożyczki'!E46</f>
        <v>0</v>
      </c>
      <c r="F17" s="462">
        <f>E17-'Parametry nakładów i pożyczki'!F46</f>
        <v>0</v>
      </c>
      <c r="G17" s="462">
        <f>F17-'Parametry nakładów i pożyczki'!G46</f>
        <v>0</v>
      </c>
      <c r="H17" s="462">
        <f>G17-'Parametry nakładów i pożyczki'!H46</f>
        <v>0</v>
      </c>
      <c r="I17" s="462">
        <f>H17-'Parametry nakładów i pożyczki'!I46</f>
        <v>0</v>
      </c>
      <c r="J17" s="462">
        <f>I17-'Parametry nakładów i pożyczki'!J46</f>
        <v>0</v>
      </c>
      <c r="K17" s="462">
        <f>J17-'Parametry nakładów i pożyczki'!K46</f>
        <v>0</v>
      </c>
      <c r="L17" s="462">
        <f>K17-'Parametry nakładów i pożyczki'!L46</f>
        <v>0</v>
      </c>
      <c r="M17" s="345">
        <f>'załącznik nr 1 porównawczy'!D76</f>
        <v>0</v>
      </c>
      <c r="N17" s="346"/>
    </row>
    <row r="18" spans="1:14" ht="12" hidden="1" customHeight="1" x14ac:dyDescent="0.25">
      <c r="A18" s="390" t="s">
        <v>47</v>
      </c>
      <c r="B18" s="391" t="str">
        <f>[1]Arkusz1!B18</f>
        <v>inne środki trwałe</v>
      </c>
      <c r="C18" s="345">
        <f>'Parametry nakładów i pożyczki'!C37</f>
        <v>0</v>
      </c>
      <c r="D18" s="462">
        <f>'Parametry nakładów i pożyczki'!C37+'Parametry nakładów i pożyczki'!C20-'Parametry nakładów i pożyczki'!D47</f>
        <v>0</v>
      </c>
      <c r="E18" s="462">
        <f>D18-'Parametry nakładów i pożyczki'!E47</f>
        <v>0</v>
      </c>
      <c r="F18" s="462">
        <f>E18-'Parametry nakładów i pożyczki'!F47</f>
        <v>0</v>
      </c>
      <c r="G18" s="462">
        <f>F18-'Parametry nakładów i pożyczki'!G47</f>
        <v>0</v>
      </c>
      <c r="H18" s="462">
        <f>G18-'Parametry nakładów i pożyczki'!H47</f>
        <v>0</v>
      </c>
      <c r="I18" s="462">
        <f>H18-'Parametry nakładów i pożyczki'!I47</f>
        <v>0</v>
      </c>
      <c r="J18" s="462">
        <f>I18-'Parametry nakładów i pożyczki'!J47</f>
        <v>0</v>
      </c>
      <c r="K18" s="462">
        <f>J18-'Parametry nakładów i pożyczki'!K47</f>
        <v>0</v>
      </c>
      <c r="L18" s="462">
        <f>K18-'Parametry nakładów i pożyczki'!L47</f>
        <v>0</v>
      </c>
      <c r="M18" s="345">
        <f>'załącznik nr 1 porównawczy'!D77</f>
        <v>0</v>
      </c>
      <c r="N18" s="346"/>
    </row>
    <row r="19" spans="1:14" ht="12" hidden="1" customHeight="1" x14ac:dyDescent="0.25">
      <c r="A19" s="390"/>
      <c r="B19" s="391"/>
      <c r="C19" s="37"/>
      <c r="D19" s="462"/>
      <c r="E19" s="462"/>
      <c r="F19" s="462"/>
      <c r="G19" s="462"/>
      <c r="H19" s="462"/>
      <c r="I19" s="462"/>
      <c r="J19" s="462"/>
      <c r="K19" s="463"/>
      <c r="L19" s="462"/>
      <c r="M19" s="37"/>
      <c r="N19" s="346"/>
    </row>
    <row r="20" spans="1:14" ht="12" hidden="1" customHeight="1" x14ac:dyDescent="0.25">
      <c r="A20" s="390"/>
      <c r="B20" s="391"/>
      <c r="C20" s="347"/>
      <c r="D20" s="462"/>
      <c r="E20" s="462"/>
      <c r="F20" s="462"/>
      <c r="G20" s="462"/>
      <c r="H20" s="462"/>
      <c r="I20" s="462"/>
      <c r="J20" s="462"/>
      <c r="K20" s="463"/>
      <c r="L20" s="462"/>
      <c r="M20" s="347"/>
      <c r="N20" s="346"/>
    </row>
    <row r="21" spans="1:14" ht="12" customHeight="1" x14ac:dyDescent="0.25">
      <c r="A21" s="388" t="s">
        <v>22</v>
      </c>
      <c r="B21" s="389" t="s">
        <v>350</v>
      </c>
      <c r="C21" s="96"/>
      <c r="D21" s="461">
        <f>C21</f>
        <v>0</v>
      </c>
      <c r="E21" s="461">
        <f t="shared" ref="E21:L21" si="7">D21</f>
        <v>0</v>
      </c>
      <c r="F21" s="461">
        <f t="shared" si="7"/>
        <v>0</v>
      </c>
      <c r="G21" s="461">
        <f t="shared" si="7"/>
        <v>0</v>
      </c>
      <c r="H21" s="461">
        <f t="shared" si="7"/>
        <v>0</v>
      </c>
      <c r="I21" s="461">
        <f t="shared" si="7"/>
        <v>0</v>
      </c>
      <c r="J21" s="461">
        <f t="shared" si="7"/>
        <v>0</v>
      </c>
      <c r="K21" s="461">
        <f t="shared" si="7"/>
        <v>0</v>
      </c>
      <c r="L21" s="461">
        <f t="shared" si="7"/>
        <v>0</v>
      </c>
      <c r="M21" s="96"/>
      <c r="N21" s="346" t="s">
        <v>355</v>
      </c>
    </row>
    <row r="22" spans="1:14" ht="12" hidden="1" customHeight="1" x14ac:dyDescent="0.25">
      <c r="A22" s="390"/>
      <c r="B22" s="391"/>
      <c r="C22" s="37"/>
      <c r="D22" s="461">
        <f t="shared" ref="D22:L22" si="8">C22</f>
        <v>0</v>
      </c>
      <c r="E22" s="461">
        <f t="shared" si="8"/>
        <v>0</v>
      </c>
      <c r="F22" s="461">
        <f t="shared" si="8"/>
        <v>0</v>
      </c>
      <c r="G22" s="461">
        <f t="shared" si="8"/>
        <v>0</v>
      </c>
      <c r="H22" s="461">
        <f t="shared" si="8"/>
        <v>0</v>
      </c>
      <c r="I22" s="461">
        <f t="shared" si="8"/>
        <v>0</v>
      </c>
      <c r="J22" s="461">
        <f t="shared" si="8"/>
        <v>0</v>
      </c>
      <c r="K22" s="461">
        <f t="shared" si="8"/>
        <v>0</v>
      </c>
      <c r="L22" s="461">
        <f t="shared" si="8"/>
        <v>0</v>
      </c>
      <c r="M22" s="37"/>
      <c r="N22" s="346" t="s">
        <v>355</v>
      </c>
    </row>
    <row r="23" spans="1:14" ht="12" hidden="1" customHeight="1" x14ac:dyDescent="0.25">
      <c r="A23" s="390"/>
      <c r="B23" s="391"/>
      <c r="C23" s="37"/>
      <c r="D23" s="461">
        <f t="shared" ref="D23:L23" si="9">C23</f>
        <v>0</v>
      </c>
      <c r="E23" s="461">
        <f t="shared" si="9"/>
        <v>0</v>
      </c>
      <c r="F23" s="461">
        <f t="shared" si="9"/>
        <v>0</v>
      </c>
      <c r="G23" s="461">
        <f t="shared" si="9"/>
        <v>0</v>
      </c>
      <c r="H23" s="461">
        <f t="shared" si="9"/>
        <v>0</v>
      </c>
      <c r="I23" s="461">
        <f t="shared" si="9"/>
        <v>0</v>
      </c>
      <c r="J23" s="461">
        <f t="shared" si="9"/>
        <v>0</v>
      </c>
      <c r="K23" s="461">
        <f t="shared" si="9"/>
        <v>0</v>
      </c>
      <c r="L23" s="461">
        <f t="shared" si="9"/>
        <v>0</v>
      </c>
      <c r="M23" s="37"/>
      <c r="N23" s="346" t="s">
        <v>355</v>
      </c>
    </row>
    <row r="24" spans="1:14" ht="12" customHeight="1" x14ac:dyDescent="0.25">
      <c r="A24" s="388" t="s">
        <v>23</v>
      </c>
      <c r="B24" s="389" t="s">
        <v>341</v>
      </c>
      <c r="C24" s="96"/>
      <c r="D24" s="461">
        <f t="shared" ref="D24:L24" si="10">C24</f>
        <v>0</v>
      </c>
      <c r="E24" s="461">
        <f t="shared" si="10"/>
        <v>0</v>
      </c>
      <c r="F24" s="461">
        <f t="shared" si="10"/>
        <v>0</v>
      </c>
      <c r="G24" s="461">
        <f t="shared" si="10"/>
        <v>0</v>
      </c>
      <c r="H24" s="461">
        <f t="shared" si="10"/>
        <v>0</v>
      </c>
      <c r="I24" s="461">
        <f t="shared" si="10"/>
        <v>0</v>
      </c>
      <c r="J24" s="461">
        <f t="shared" si="10"/>
        <v>0</v>
      </c>
      <c r="K24" s="461">
        <f t="shared" si="10"/>
        <v>0</v>
      </c>
      <c r="L24" s="461">
        <f t="shared" si="10"/>
        <v>0</v>
      </c>
      <c r="M24" s="96"/>
      <c r="N24" s="346" t="s">
        <v>355</v>
      </c>
    </row>
    <row r="25" spans="1:14" ht="12" hidden="1" customHeight="1" x14ac:dyDescent="0.25">
      <c r="A25" s="390"/>
      <c r="B25" s="391"/>
      <c r="C25" s="37"/>
      <c r="D25" s="461">
        <f t="shared" ref="D25:L25" si="11">C25</f>
        <v>0</v>
      </c>
      <c r="E25" s="461">
        <f t="shared" si="11"/>
        <v>0</v>
      </c>
      <c r="F25" s="461">
        <f t="shared" si="11"/>
        <v>0</v>
      </c>
      <c r="G25" s="461">
        <f t="shared" si="11"/>
        <v>0</v>
      </c>
      <c r="H25" s="461">
        <f t="shared" si="11"/>
        <v>0</v>
      </c>
      <c r="I25" s="461">
        <f t="shared" si="11"/>
        <v>0</v>
      </c>
      <c r="J25" s="461">
        <f t="shared" si="11"/>
        <v>0</v>
      </c>
      <c r="K25" s="461">
        <f t="shared" si="11"/>
        <v>0</v>
      </c>
      <c r="L25" s="461">
        <f t="shared" si="11"/>
        <v>0</v>
      </c>
      <c r="M25" s="37"/>
      <c r="N25" s="346" t="s">
        <v>355</v>
      </c>
    </row>
    <row r="26" spans="1:14" ht="12" hidden="1" customHeight="1" x14ac:dyDescent="0.25">
      <c r="A26" s="390"/>
      <c r="B26" s="391"/>
      <c r="C26" s="37"/>
      <c r="D26" s="461">
        <f t="shared" ref="D26:L26" si="12">C26</f>
        <v>0</v>
      </c>
      <c r="E26" s="461">
        <f t="shared" si="12"/>
        <v>0</v>
      </c>
      <c r="F26" s="461">
        <f t="shared" si="12"/>
        <v>0</v>
      </c>
      <c r="G26" s="461">
        <f t="shared" si="12"/>
        <v>0</v>
      </c>
      <c r="H26" s="461">
        <f t="shared" si="12"/>
        <v>0</v>
      </c>
      <c r="I26" s="461">
        <f t="shared" si="12"/>
        <v>0</v>
      </c>
      <c r="J26" s="461">
        <f t="shared" si="12"/>
        <v>0</v>
      </c>
      <c r="K26" s="461">
        <f t="shared" si="12"/>
        <v>0</v>
      </c>
      <c r="L26" s="461">
        <f t="shared" si="12"/>
        <v>0</v>
      </c>
      <c r="M26" s="37"/>
      <c r="N26" s="346" t="s">
        <v>355</v>
      </c>
    </row>
    <row r="27" spans="1:14" ht="12" hidden="1" customHeight="1" x14ac:dyDescent="0.25">
      <c r="A27" s="390"/>
      <c r="B27" s="391"/>
      <c r="C27" s="42"/>
      <c r="D27" s="461">
        <f t="shared" ref="D27:L27" si="13">C27</f>
        <v>0</v>
      </c>
      <c r="E27" s="461">
        <f t="shared" si="13"/>
        <v>0</v>
      </c>
      <c r="F27" s="461">
        <f t="shared" si="13"/>
        <v>0</v>
      </c>
      <c r="G27" s="461">
        <f t="shared" si="13"/>
        <v>0</v>
      </c>
      <c r="H27" s="461">
        <f t="shared" si="13"/>
        <v>0</v>
      </c>
      <c r="I27" s="461">
        <f t="shared" si="13"/>
        <v>0</v>
      </c>
      <c r="J27" s="461">
        <f t="shared" si="13"/>
        <v>0</v>
      </c>
      <c r="K27" s="461">
        <f t="shared" si="13"/>
        <v>0</v>
      </c>
      <c r="L27" s="461">
        <f t="shared" si="13"/>
        <v>0</v>
      </c>
      <c r="M27" s="42"/>
      <c r="N27" s="346" t="s">
        <v>355</v>
      </c>
    </row>
    <row r="28" spans="1:14" ht="12" hidden="1" customHeight="1" x14ac:dyDescent="0.25">
      <c r="A28" s="390"/>
      <c r="B28" s="391"/>
      <c r="C28" s="42"/>
      <c r="D28" s="461">
        <f t="shared" ref="D28:L28" si="14">C28</f>
        <v>0</v>
      </c>
      <c r="E28" s="461">
        <f t="shared" si="14"/>
        <v>0</v>
      </c>
      <c r="F28" s="461">
        <f t="shared" si="14"/>
        <v>0</v>
      </c>
      <c r="G28" s="461">
        <f t="shared" si="14"/>
        <v>0</v>
      </c>
      <c r="H28" s="461">
        <f t="shared" si="14"/>
        <v>0</v>
      </c>
      <c r="I28" s="461">
        <f t="shared" si="14"/>
        <v>0</v>
      </c>
      <c r="J28" s="461">
        <f t="shared" si="14"/>
        <v>0</v>
      </c>
      <c r="K28" s="461">
        <f t="shared" si="14"/>
        <v>0</v>
      </c>
      <c r="L28" s="461">
        <f t="shared" si="14"/>
        <v>0</v>
      </c>
      <c r="M28" s="42"/>
      <c r="N28" s="346" t="s">
        <v>355</v>
      </c>
    </row>
    <row r="29" spans="1:14" ht="12" hidden="1" customHeight="1" x14ac:dyDescent="0.25">
      <c r="A29" s="390"/>
      <c r="B29" s="392"/>
      <c r="C29" s="37"/>
      <c r="D29" s="461">
        <f t="shared" ref="D29:L29" si="15">C29</f>
        <v>0</v>
      </c>
      <c r="E29" s="461">
        <f t="shared" si="15"/>
        <v>0</v>
      </c>
      <c r="F29" s="461">
        <f t="shared" si="15"/>
        <v>0</v>
      </c>
      <c r="G29" s="461">
        <f t="shared" si="15"/>
        <v>0</v>
      </c>
      <c r="H29" s="461">
        <f t="shared" si="15"/>
        <v>0</v>
      </c>
      <c r="I29" s="461">
        <f t="shared" si="15"/>
        <v>0</v>
      </c>
      <c r="J29" s="461">
        <f t="shared" si="15"/>
        <v>0</v>
      </c>
      <c r="K29" s="461">
        <f t="shared" si="15"/>
        <v>0</v>
      </c>
      <c r="L29" s="461">
        <f t="shared" si="15"/>
        <v>0</v>
      </c>
      <c r="M29" s="37"/>
      <c r="N29" s="346" t="s">
        <v>355</v>
      </c>
    </row>
    <row r="30" spans="1:14" ht="12" hidden="1" customHeight="1" x14ac:dyDescent="0.25">
      <c r="A30" s="390"/>
      <c r="B30" s="392"/>
      <c r="C30" s="37"/>
      <c r="D30" s="461">
        <f t="shared" ref="D30:L30" si="16">C30</f>
        <v>0</v>
      </c>
      <c r="E30" s="461">
        <f t="shared" si="16"/>
        <v>0</v>
      </c>
      <c r="F30" s="461">
        <f t="shared" si="16"/>
        <v>0</v>
      </c>
      <c r="G30" s="461">
        <f t="shared" si="16"/>
        <v>0</v>
      </c>
      <c r="H30" s="461">
        <f t="shared" si="16"/>
        <v>0</v>
      </c>
      <c r="I30" s="461">
        <f t="shared" si="16"/>
        <v>0</v>
      </c>
      <c r="J30" s="461">
        <f t="shared" si="16"/>
        <v>0</v>
      </c>
      <c r="K30" s="461">
        <f t="shared" si="16"/>
        <v>0</v>
      </c>
      <c r="L30" s="461">
        <f t="shared" si="16"/>
        <v>0</v>
      </c>
      <c r="M30" s="37"/>
      <c r="N30" s="346" t="s">
        <v>355</v>
      </c>
    </row>
    <row r="31" spans="1:14" ht="12" hidden="1" customHeight="1" x14ac:dyDescent="0.25">
      <c r="A31" s="390"/>
      <c r="B31" s="392"/>
      <c r="C31" s="37"/>
      <c r="D31" s="461">
        <f t="shared" ref="D31:L31" si="17">C31</f>
        <v>0</v>
      </c>
      <c r="E31" s="461">
        <f t="shared" si="17"/>
        <v>0</v>
      </c>
      <c r="F31" s="461">
        <f t="shared" si="17"/>
        <v>0</v>
      </c>
      <c r="G31" s="461">
        <f t="shared" si="17"/>
        <v>0</v>
      </c>
      <c r="H31" s="461">
        <f t="shared" si="17"/>
        <v>0</v>
      </c>
      <c r="I31" s="461">
        <f t="shared" si="17"/>
        <v>0</v>
      </c>
      <c r="J31" s="461">
        <f t="shared" si="17"/>
        <v>0</v>
      </c>
      <c r="K31" s="461">
        <f t="shared" si="17"/>
        <v>0</v>
      </c>
      <c r="L31" s="461">
        <f t="shared" si="17"/>
        <v>0</v>
      </c>
      <c r="M31" s="37"/>
      <c r="N31" s="346" t="s">
        <v>355</v>
      </c>
    </row>
    <row r="32" spans="1:14" ht="12" hidden="1" customHeight="1" x14ac:dyDescent="0.25">
      <c r="A32" s="390"/>
      <c r="B32" s="392"/>
      <c r="C32" s="37"/>
      <c r="D32" s="461">
        <f t="shared" ref="D32:L32" si="18">C32</f>
        <v>0</v>
      </c>
      <c r="E32" s="461">
        <f t="shared" si="18"/>
        <v>0</v>
      </c>
      <c r="F32" s="461">
        <f t="shared" si="18"/>
        <v>0</v>
      </c>
      <c r="G32" s="461">
        <f t="shared" si="18"/>
        <v>0</v>
      </c>
      <c r="H32" s="461">
        <f t="shared" si="18"/>
        <v>0</v>
      </c>
      <c r="I32" s="461">
        <f t="shared" si="18"/>
        <v>0</v>
      </c>
      <c r="J32" s="461">
        <f t="shared" si="18"/>
        <v>0</v>
      </c>
      <c r="K32" s="461">
        <f t="shared" si="18"/>
        <v>0</v>
      </c>
      <c r="L32" s="461">
        <f t="shared" si="18"/>
        <v>0</v>
      </c>
      <c r="M32" s="37"/>
      <c r="N32" s="346" t="s">
        <v>355</v>
      </c>
    </row>
    <row r="33" spans="1:14" ht="12" hidden="1" customHeight="1" x14ac:dyDescent="0.25">
      <c r="A33" s="390"/>
      <c r="B33" s="391"/>
      <c r="C33" s="42"/>
      <c r="D33" s="461">
        <f t="shared" ref="D33:L33" si="19">C33</f>
        <v>0</v>
      </c>
      <c r="E33" s="461">
        <f t="shared" si="19"/>
        <v>0</v>
      </c>
      <c r="F33" s="461">
        <f t="shared" si="19"/>
        <v>0</v>
      </c>
      <c r="G33" s="461">
        <f t="shared" si="19"/>
        <v>0</v>
      </c>
      <c r="H33" s="461">
        <f t="shared" si="19"/>
        <v>0</v>
      </c>
      <c r="I33" s="461">
        <f t="shared" si="19"/>
        <v>0</v>
      </c>
      <c r="J33" s="461">
        <f t="shared" si="19"/>
        <v>0</v>
      </c>
      <c r="K33" s="461">
        <f t="shared" si="19"/>
        <v>0</v>
      </c>
      <c r="L33" s="461">
        <f t="shared" si="19"/>
        <v>0</v>
      </c>
      <c r="M33" s="42"/>
      <c r="N33" s="346" t="s">
        <v>355</v>
      </c>
    </row>
    <row r="34" spans="1:14" ht="12" hidden="1" customHeight="1" x14ac:dyDescent="0.25">
      <c r="A34" s="390"/>
      <c r="B34" s="392"/>
      <c r="C34" s="37"/>
      <c r="D34" s="461">
        <f t="shared" ref="D34:L34" si="20">C34</f>
        <v>0</v>
      </c>
      <c r="E34" s="461">
        <f t="shared" si="20"/>
        <v>0</v>
      </c>
      <c r="F34" s="461">
        <f t="shared" si="20"/>
        <v>0</v>
      </c>
      <c r="G34" s="461">
        <f t="shared" si="20"/>
        <v>0</v>
      </c>
      <c r="H34" s="461">
        <f t="shared" si="20"/>
        <v>0</v>
      </c>
      <c r="I34" s="461">
        <f t="shared" si="20"/>
        <v>0</v>
      </c>
      <c r="J34" s="461">
        <f t="shared" si="20"/>
        <v>0</v>
      </c>
      <c r="K34" s="461">
        <f t="shared" si="20"/>
        <v>0</v>
      </c>
      <c r="L34" s="461">
        <f t="shared" si="20"/>
        <v>0</v>
      </c>
      <c r="M34" s="37"/>
      <c r="N34" s="346" t="s">
        <v>355</v>
      </c>
    </row>
    <row r="35" spans="1:14" ht="12" hidden="1" customHeight="1" x14ac:dyDescent="0.25">
      <c r="A35" s="390"/>
      <c r="B35" s="392"/>
      <c r="C35" s="37"/>
      <c r="D35" s="461">
        <f t="shared" ref="D35:L35" si="21">C35</f>
        <v>0</v>
      </c>
      <c r="E35" s="461">
        <f t="shared" si="21"/>
        <v>0</v>
      </c>
      <c r="F35" s="461">
        <f t="shared" si="21"/>
        <v>0</v>
      </c>
      <c r="G35" s="461">
        <f t="shared" si="21"/>
        <v>0</v>
      </c>
      <c r="H35" s="461">
        <f t="shared" si="21"/>
        <v>0</v>
      </c>
      <c r="I35" s="461">
        <f t="shared" si="21"/>
        <v>0</v>
      </c>
      <c r="J35" s="461">
        <f t="shared" si="21"/>
        <v>0</v>
      </c>
      <c r="K35" s="461">
        <f t="shared" si="21"/>
        <v>0</v>
      </c>
      <c r="L35" s="461">
        <f t="shared" si="21"/>
        <v>0</v>
      </c>
      <c r="M35" s="37"/>
      <c r="N35" s="346" t="s">
        <v>355</v>
      </c>
    </row>
    <row r="36" spans="1:14" ht="12" hidden="1" customHeight="1" x14ac:dyDescent="0.25">
      <c r="A36" s="390"/>
      <c r="B36" s="392"/>
      <c r="C36" s="37"/>
      <c r="D36" s="461">
        <f t="shared" ref="D36:L36" si="22">C36</f>
        <v>0</v>
      </c>
      <c r="E36" s="461">
        <f t="shared" si="22"/>
        <v>0</v>
      </c>
      <c r="F36" s="461">
        <f t="shared" si="22"/>
        <v>0</v>
      </c>
      <c r="G36" s="461">
        <f t="shared" si="22"/>
        <v>0</v>
      </c>
      <c r="H36" s="461">
        <f t="shared" si="22"/>
        <v>0</v>
      </c>
      <c r="I36" s="461">
        <f t="shared" si="22"/>
        <v>0</v>
      </c>
      <c r="J36" s="461">
        <f t="shared" si="22"/>
        <v>0</v>
      </c>
      <c r="K36" s="461">
        <f t="shared" si="22"/>
        <v>0</v>
      </c>
      <c r="L36" s="461">
        <f t="shared" si="22"/>
        <v>0</v>
      </c>
      <c r="M36" s="37"/>
      <c r="N36" s="346" t="s">
        <v>355</v>
      </c>
    </row>
    <row r="37" spans="1:14" ht="12" hidden="1" customHeight="1" x14ac:dyDescent="0.25">
      <c r="A37" s="390"/>
      <c r="B37" s="392"/>
      <c r="C37" s="37"/>
      <c r="D37" s="461">
        <f t="shared" ref="D37:L37" si="23">C37</f>
        <v>0</v>
      </c>
      <c r="E37" s="461">
        <f t="shared" si="23"/>
        <v>0</v>
      </c>
      <c r="F37" s="461">
        <f t="shared" si="23"/>
        <v>0</v>
      </c>
      <c r="G37" s="461">
        <f t="shared" si="23"/>
        <v>0</v>
      </c>
      <c r="H37" s="461">
        <f t="shared" si="23"/>
        <v>0</v>
      </c>
      <c r="I37" s="461">
        <f t="shared" si="23"/>
        <v>0</v>
      </c>
      <c r="J37" s="461">
        <f t="shared" si="23"/>
        <v>0</v>
      </c>
      <c r="K37" s="461">
        <f t="shared" si="23"/>
        <v>0</v>
      </c>
      <c r="L37" s="461">
        <f t="shared" si="23"/>
        <v>0</v>
      </c>
      <c r="M37" s="37"/>
      <c r="N37" s="346"/>
    </row>
    <row r="38" spans="1:14" ht="12" hidden="1" customHeight="1" x14ac:dyDescent="0.25">
      <c r="A38" s="390"/>
      <c r="B38" s="392"/>
      <c r="C38" s="37"/>
      <c r="D38" s="461">
        <f t="shared" ref="D38:L38" si="24">C38</f>
        <v>0</v>
      </c>
      <c r="E38" s="461">
        <f t="shared" si="24"/>
        <v>0</v>
      </c>
      <c r="F38" s="461">
        <f t="shared" si="24"/>
        <v>0</v>
      </c>
      <c r="G38" s="461">
        <f t="shared" si="24"/>
        <v>0</v>
      </c>
      <c r="H38" s="461">
        <f t="shared" si="24"/>
        <v>0</v>
      </c>
      <c r="I38" s="461">
        <f t="shared" si="24"/>
        <v>0</v>
      </c>
      <c r="J38" s="461">
        <f t="shared" si="24"/>
        <v>0</v>
      </c>
      <c r="K38" s="461">
        <f t="shared" si="24"/>
        <v>0</v>
      </c>
      <c r="L38" s="461">
        <f t="shared" si="24"/>
        <v>0</v>
      </c>
      <c r="M38" s="37"/>
      <c r="N38" s="346" t="s">
        <v>355</v>
      </c>
    </row>
    <row r="39" spans="1:14" ht="12" customHeight="1" thickBot="1" x14ac:dyDescent="0.3">
      <c r="A39" s="388" t="s">
        <v>25</v>
      </c>
      <c r="B39" s="389" t="s">
        <v>338</v>
      </c>
      <c r="C39" s="96"/>
      <c r="D39" s="461">
        <f t="shared" ref="D39:L39" si="25">C39</f>
        <v>0</v>
      </c>
      <c r="E39" s="461">
        <f t="shared" si="25"/>
        <v>0</v>
      </c>
      <c r="F39" s="461">
        <f t="shared" si="25"/>
        <v>0</v>
      </c>
      <c r="G39" s="461">
        <f t="shared" si="25"/>
        <v>0</v>
      </c>
      <c r="H39" s="461">
        <f t="shared" si="25"/>
        <v>0</v>
      </c>
      <c r="I39" s="461">
        <f t="shared" si="25"/>
        <v>0</v>
      </c>
      <c r="J39" s="461">
        <f t="shared" si="25"/>
        <v>0</v>
      </c>
      <c r="K39" s="461">
        <f t="shared" si="25"/>
        <v>0</v>
      </c>
      <c r="L39" s="461">
        <f t="shared" si="25"/>
        <v>0</v>
      </c>
      <c r="M39" s="96"/>
      <c r="N39" s="346" t="s">
        <v>355</v>
      </c>
    </row>
    <row r="40" spans="1:14" ht="12" hidden="1" customHeight="1" x14ac:dyDescent="0.25">
      <c r="A40" s="343"/>
      <c r="B40" s="348"/>
      <c r="C40" s="37"/>
      <c r="D40" s="368"/>
      <c r="E40" s="368"/>
      <c r="F40" s="368"/>
      <c r="G40" s="368"/>
      <c r="H40" s="368"/>
      <c r="I40" s="368"/>
      <c r="J40" s="368"/>
      <c r="K40" s="369"/>
      <c r="L40" s="368"/>
      <c r="M40" s="37"/>
      <c r="N40" s="346" t="s">
        <v>355</v>
      </c>
    </row>
    <row r="41" spans="1:14" ht="12" hidden="1" customHeight="1" thickBot="1" x14ac:dyDescent="0.3">
      <c r="A41" s="343"/>
      <c r="B41" s="348"/>
      <c r="C41" s="37"/>
      <c r="D41" s="368"/>
      <c r="E41" s="368"/>
      <c r="F41" s="368"/>
      <c r="G41" s="368"/>
      <c r="H41" s="368"/>
      <c r="I41" s="368"/>
      <c r="J41" s="368"/>
      <c r="K41" s="369"/>
      <c r="L41" s="368"/>
      <c r="M41" s="37"/>
      <c r="N41" s="346" t="s">
        <v>355</v>
      </c>
    </row>
    <row r="42" spans="1:14" ht="12" customHeight="1" thickBot="1" x14ac:dyDescent="0.3">
      <c r="A42" s="649" t="s">
        <v>24</v>
      </c>
      <c r="B42" s="650" t="str">
        <f>[1]Arkusz1!B42</f>
        <v>AKTYWA OBROTOWE</v>
      </c>
      <c r="C42" s="651">
        <f>C43+C49+C62+C79</f>
        <v>0</v>
      </c>
      <c r="D42" s="651">
        <f t="shared" ref="D42:K42" si="26">SUM(D43,D49,D62,D79)</f>
        <v>0</v>
      </c>
      <c r="E42" s="651">
        <f t="shared" si="26"/>
        <v>0</v>
      </c>
      <c r="F42" s="651">
        <f t="shared" si="26"/>
        <v>0</v>
      </c>
      <c r="G42" s="651">
        <f t="shared" si="26"/>
        <v>0</v>
      </c>
      <c r="H42" s="651">
        <f t="shared" si="26"/>
        <v>0</v>
      </c>
      <c r="I42" s="651">
        <f t="shared" si="26"/>
        <v>0</v>
      </c>
      <c r="J42" s="651">
        <f t="shared" si="26"/>
        <v>0</v>
      </c>
      <c r="K42" s="652">
        <f t="shared" si="26"/>
        <v>0</v>
      </c>
      <c r="L42" s="651">
        <f t="shared" ref="L42" si="27">SUM(L43,L49,L62,L79)</f>
        <v>0</v>
      </c>
      <c r="M42" s="651">
        <f>M43+M49+M62+M79</f>
        <v>0</v>
      </c>
      <c r="N42" s="346"/>
    </row>
    <row r="43" spans="1:14" ht="12" customHeight="1" x14ac:dyDescent="0.25">
      <c r="A43" s="388" t="s">
        <v>20</v>
      </c>
      <c r="B43" s="393" t="s">
        <v>340</v>
      </c>
      <c r="C43" s="95"/>
      <c r="D43" s="466">
        <f>C43+'PARAMETRY POZYCZKI'!E11</f>
        <v>0</v>
      </c>
      <c r="E43" s="466">
        <f>D43+'PARAMETRY POZYCZKI'!F11</f>
        <v>0</v>
      </c>
      <c r="F43" s="466">
        <f>E43+'PARAMETRY POZYCZKI'!G11</f>
        <v>0</v>
      </c>
      <c r="G43" s="466">
        <f>F43+'PARAMETRY POZYCZKI'!H11</f>
        <v>0</v>
      </c>
      <c r="H43" s="466">
        <f>G43+'PARAMETRY POZYCZKI'!I11</f>
        <v>0</v>
      </c>
      <c r="I43" s="466">
        <f>H43+'PARAMETRY POZYCZKI'!J11</f>
        <v>0</v>
      </c>
      <c r="J43" s="466">
        <f>I43+'PARAMETRY POZYCZKI'!K11</f>
        <v>0</v>
      </c>
      <c r="K43" s="466">
        <f>J43+'PARAMETRY POZYCZKI'!L11</f>
        <v>0</v>
      </c>
      <c r="L43" s="466">
        <f>K43+'PARAMETRY POZYCZKI'!M11</f>
        <v>0</v>
      </c>
      <c r="M43" s="95"/>
      <c r="N43" s="346" t="s">
        <v>355</v>
      </c>
    </row>
    <row r="44" spans="1:14" ht="12" hidden="1" customHeight="1" x14ac:dyDescent="0.25">
      <c r="A44" s="390"/>
      <c r="B44" s="394"/>
      <c r="C44" s="37"/>
      <c r="D44" s="462"/>
      <c r="E44" s="462"/>
      <c r="F44" s="462"/>
      <c r="G44" s="462"/>
      <c r="H44" s="462"/>
      <c r="I44" s="462"/>
      <c r="J44" s="462"/>
      <c r="K44" s="462"/>
      <c r="L44" s="462"/>
      <c r="M44" s="37"/>
      <c r="N44" s="346" t="s">
        <v>355</v>
      </c>
    </row>
    <row r="45" spans="1:14" ht="12" hidden="1" customHeight="1" x14ac:dyDescent="0.25">
      <c r="A45" s="390"/>
      <c r="B45" s="394"/>
      <c r="C45" s="37"/>
      <c r="D45" s="462"/>
      <c r="E45" s="462"/>
      <c r="F45" s="462"/>
      <c r="G45" s="462"/>
      <c r="H45" s="462"/>
      <c r="I45" s="462"/>
      <c r="J45" s="462"/>
      <c r="K45" s="462"/>
      <c r="L45" s="462"/>
      <c r="M45" s="37"/>
      <c r="N45" s="346" t="s">
        <v>355</v>
      </c>
    </row>
    <row r="46" spans="1:14" ht="12" hidden="1" customHeight="1" x14ac:dyDescent="0.25">
      <c r="A46" s="390"/>
      <c r="B46" s="394"/>
      <c r="C46" s="37"/>
      <c r="D46" s="462"/>
      <c r="E46" s="462"/>
      <c r="F46" s="462"/>
      <c r="G46" s="462"/>
      <c r="H46" s="462"/>
      <c r="I46" s="462"/>
      <c r="J46" s="462"/>
      <c r="K46" s="462"/>
      <c r="L46" s="462"/>
      <c r="M46" s="37"/>
      <c r="N46" s="346" t="s">
        <v>355</v>
      </c>
    </row>
    <row r="47" spans="1:14" ht="12" hidden="1" customHeight="1" x14ac:dyDescent="0.25">
      <c r="A47" s="390"/>
      <c r="B47" s="394"/>
      <c r="C47" s="37"/>
      <c r="D47" s="462"/>
      <c r="E47" s="462"/>
      <c r="F47" s="462"/>
      <c r="G47" s="462"/>
      <c r="H47" s="462"/>
      <c r="I47" s="462"/>
      <c r="J47" s="462"/>
      <c r="K47" s="462"/>
      <c r="L47" s="462"/>
      <c r="M47" s="37"/>
      <c r="N47" s="346" t="s">
        <v>355</v>
      </c>
    </row>
    <row r="48" spans="1:14" ht="12" hidden="1" customHeight="1" x14ac:dyDescent="0.25">
      <c r="A48" s="390"/>
      <c r="B48" s="394"/>
      <c r="C48" s="37"/>
      <c r="D48" s="462"/>
      <c r="E48" s="462"/>
      <c r="F48" s="462"/>
      <c r="G48" s="462"/>
      <c r="H48" s="462"/>
      <c r="I48" s="462"/>
      <c r="J48" s="462"/>
      <c r="K48" s="462"/>
      <c r="L48" s="462"/>
      <c r="M48" s="37"/>
      <c r="N48" s="346" t="s">
        <v>355</v>
      </c>
    </row>
    <row r="49" spans="1:14" x14ac:dyDescent="0.25">
      <c r="A49" s="388" t="s">
        <v>21</v>
      </c>
      <c r="B49" s="389" t="s">
        <v>339</v>
      </c>
      <c r="C49" s="96"/>
      <c r="D49" s="461">
        <f>C49+'PARAMETRY POZYCZKI'!E12</f>
        <v>0</v>
      </c>
      <c r="E49" s="461">
        <f>D49+'PARAMETRY POZYCZKI'!F12</f>
        <v>0</v>
      </c>
      <c r="F49" s="461">
        <f>E49+'PARAMETRY POZYCZKI'!G12</f>
        <v>0</v>
      </c>
      <c r="G49" s="461">
        <f>F49+'PARAMETRY POZYCZKI'!H12</f>
        <v>0</v>
      </c>
      <c r="H49" s="461">
        <f>G49+'PARAMETRY POZYCZKI'!I12</f>
        <v>0</v>
      </c>
      <c r="I49" s="461">
        <f>H49+'PARAMETRY POZYCZKI'!J12</f>
        <v>0</v>
      </c>
      <c r="J49" s="461">
        <f>I49+'PARAMETRY POZYCZKI'!K12</f>
        <v>0</v>
      </c>
      <c r="K49" s="461">
        <f>J49+'PARAMETRY POZYCZKI'!L12</f>
        <v>0</v>
      </c>
      <c r="L49" s="461">
        <f>K49+'PARAMETRY POZYCZKI'!M12</f>
        <v>0</v>
      </c>
      <c r="M49" s="96"/>
      <c r="N49" s="346" t="s">
        <v>355</v>
      </c>
    </row>
    <row r="50" spans="1:14" ht="15" hidden="1" customHeight="1" x14ac:dyDescent="0.25">
      <c r="A50" s="390"/>
      <c r="B50" s="394"/>
      <c r="C50" s="42"/>
      <c r="D50" s="461"/>
      <c r="E50" s="461"/>
      <c r="F50" s="461"/>
      <c r="G50" s="461"/>
      <c r="H50" s="461"/>
      <c r="I50" s="461"/>
      <c r="J50" s="461"/>
      <c r="K50" s="467"/>
      <c r="L50" s="461"/>
      <c r="M50" s="42"/>
      <c r="N50" s="346" t="s">
        <v>355</v>
      </c>
    </row>
    <row r="51" spans="1:14" hidden="1" x14ac:dyDescent="0.25">
      <c r="A51" s="390"/>
      <c r="B51" s="394"/>
      <c r="C51" s="39"/>
      <c r="D51" s="464">
        <f t="shared" ref="D51:K51" si="28">SUM(D52:D53)</f>
        <v>0</v>
      </c>
      <c r="E51" s="464">
        <f t="shared" si="28"/>
        <v>0</v>
      </c>
      <c r="F51" s="464">
        <f t="shared" si="28"/>
        <v>0</v>
      </c>
      <c r="G51" s="464">
        <f t="shared" si="28"/>
        <v>0</v>
      </c>
      <c r="H51" s="464">
        <f t="shared" si="28"/>
        <v>0</v>
      </c>
      <c r="I51" s="464">
        <f t="shared" si="28"/>
        <v>0</v>
      </c>
      <c r="J51" s="464">
        <f t="shared" si="28"/>
        <v>0</v>
      </c>
      <c r="K51" s="465">
        <f t="shared" si="28"/>
        <v>0</v>
      </c>
      <c r="L51" s="464">
        <f t="shared" ref="L51" si="29">SUM(L52:L53)</f>
        <v>0</v>
      </c>
      <c r="M51" s="39"/>
      <c r="N51" s="346" t="s">
        <v>355</v>
      </c>
    </row>
    <row r="52" spans="1:14" hidden="1" x14ac:dyDescent="0.25">
      <c r="A52" s="390"/>
      <c r="B52" s="395"/>
      <c r="C52" s="37"/>
      <c r="D52" s="462"/>
      <c r="E52" s="462"/>
      <c r="F52" s="462"/>
      <c r="G52" s="462"/>
      <c r="H52" s="462"/>
      <c r="I52" s="462"/>
      <c r="J52" s="462"/>
      <c r="K52" s="463"/>
      <c r="L52" s="462"/>
      <c r="M52" s="37"/>
      <c r="N52" s="346" t="s">
        <v>355</v>
      </c>
    </row>
    <row r="53" spans="1:14" hidden="1" x14ac:dyDescent="0.25">
      <c r="A53" s="390"/>
      <c r="B53" s="395"/>
      <c r="C53" s="37"/>
      <c r="D53" s="462"/>
      <c r="E53" s="462"/>
      <c r="F53" s="462"/>
      <c r="G53" s="462"/>
      <c r="H53" s="462"/>
      <c r="I53" s="462"/>
      <c r="J53" s="462"/>
      <c r="K53" s="463"/>
      <c r="L53" s="462"/>
      <c r="M53" s="37"/>
      <c r="N53" s="346" t="s">
        <v>355</v>
      </c>
    </row>
    <row r="54" spans="1:14" hidden="1" x14ac:dyDescent="0.25">
      <c r="A54" s="390"/>
      <c r="B54" s="394"/>
      <c r="C54" s="37"/>
      <c r="D54" s="462"/>
      <c r="E54" s="462"/>
      <c r="F54" s="462"/>
      <c r="G54" s="462"/>
      <c r="H54" s="462"/>
      <c r="I54" s="462"/>
      <c r="J54" s="462"/>
      <c r="K54" s="463"/>
      <c r="L54" s="462"/>
      <c r="M54" s="37"/>
      <c r="N54" s="346" t="s">
        <v>355</v>
      </c>
    </row>
    <row r="55" spans="1:14" ht="15" hidden="1" customHeight="1" x14ac:dyDescent="0.25">
      <c r="A55" s="390"/>
      <c r="B55" s="394"/>
      <c r="C55" s="39"/>
      <c r="D55" s="464">
        <f>D56+D59+D60+D61</f>
        <v>0</v>
      </c>
      <c r="E55" s="464">
        <f t="shared" ref="E55:K55" si="30">SUM(E56,E59, E60,E61)</f>
        <v>0</v>
      </c>
      <c r="F55" s="464">
        <f t="shared" si="30"/>
        <v>0</v>
      </c>
      <c r="G55" s="464">
        <f t="shared" si="30"/>
        <v>0</v>
      </c>
      <c r="H55" s="464">
        <f t="shared" si="30"/>
        <v>0</v>
      </c>
      <c r="I55" s="464">
        <f t="shared" si="30"/>
        <v>0</v>
      </c>
      <c r="J55" s="464">
        <f t="shared" si="30"/>
        <v>0</v>
      </c>
      <c r="K55" s="465">
        <f t="shared" si="30"/>
        <v>0</v>
      </c>
      <c r="L55" s="464">
        <f t="shared" ref="L55" si="31">SUM(L56,L59, L60,L61)</f>
        <v>0</v>
      </c>
      <c r="M55" s="39"/>
      <c r="N55" s="346" t="s">
        <v>355</v>
      </c>
    </row>
    <row r="56" spans="1:14" ht="15" hidden="1" customHeight="1" x14ac:dyDescent="0.25">
      <c r="A56" s="390"/>
      <c r="B56" s="394"/>
      <c r="C56" s="39"/>
      <c r="D56" s="464"/>
      <c r="E56" s="464"/>
      <c r="F56" s="464"/>
      <c r="G56" s="464"/>
      <c r="H56" s="464"/>
      <c r="I56" s="464"/>
      <c r="J56" s="464"/>
      <c r="K56" s="465"/>
      <c r="L56" s="464"/>
      <c r="M56" s="39"/>
      <c r="N56" s="346" t="s">
        <v>355</v>
      </c>
    </row>
    <row r="57" spans="1:14" ht="15" hidden="1" customHeight="1" x14ac:dyDescent="0.25">
      <c r="A57" s="390"/>
      <c r="B57" s="395"/>
      <c r="C57" s="37"/>
      <c r="D57" s="462"/>
      <c r="E57" s="462">
        <f>D57+przepływy!E16</f>
        <v>0</v>
      </c>
      <c r="F57" s="462">
        <f>E57+przepływy!F16</f>
        <v>0</v>
      </c>
      <c r="G57" s="462">
        <f>F57+przepływy!G16</f>
        <v>0</v>
      </c>
      <c r="H57" s="462">
        <f>G57+przepływy!H16</f>
        <v>0</v>
      </c>
      <c r="I57" s="462">
        <f>H57+przepływy!I16</f>
        <v>0</v>
      </c>
      <c r="J57" s="462">
        <f>I57+przepływy!J16</f>
        <v>0</v>
      </c>
      <c r="K57" s="462">
        <f>J57+przepływy!K16</f>
        <v>0</v>
      </c>
      <c r="L57" s="462">
        <f>K57+przepływy!L16</f>
        <v>0</v>
      </c>
      <c r="M57" s="37"/>
      <c r="N57" s="346" t="s">
        <v>355</v>
      </c>
    </row>
    <row r="58" spans="1:14" ht="15" hidden="1" customHeight="1" x14ac:dyDescent="0.25">
      <c r="A58" s="390"/>
      <c r="B58" s="395"/>
      <c r="C58" s="37"/>
      <c r="D58" s="462"/>
      <c r="E58" s="462"/>
      <c r="F58" s="462"/>
      <c r="G58" s="462"/>
      <c r="H58" s="462"/>
      <c r="I58" s="462"/>
      <c r="J58" s="462"/>
      <c r="K58" s="463"/>
      <c r="L58" s="462"/>
      <c r="M58" s="37"/>
      <c r="N58" s="346" t="s">
        <v>355</v>
      </c>
    </row>
    <row r="59" spans="1:14" ht="24" hidden="1" customHeight="1" x14ac:dyDescent="0.25">
      <c r="A59" s="390"/>
      <c r="B59" s="394"/>
      <c r="C59" s="37"/>
      <c r="D59" s="462"/>
      <c r="E59" s="462"/>
      <c r="F59" s="462"/>
      <c r="G59" s="462"/>
      <c r="H59" s="462"/>
      <c r="I59" s="462"/>
      <c r="J59" s="462"/>
      <c r="K59" s="463"/>
      <c r="L59" s="462"/>
      <c r="M59" s="37"/>
      <c r="N59" s="346" t="s">
        <v>355</v>
      </c>
    </row>
    <row r="60" spans="1:14" ht="15" hidden="1" customHeight="1" x14ac:dyDescent="0.25">
      <c r="A60" s="390"/>
      <c r="B60" s="394"/>
      <c r="C60" s="37"/>
      <c r="D60" s="462"/>
      <c r="E60" s="462"/>
      <c r="F60" s="462"/>
      <c r="G60" s="462"/>
      <c r="H60" s="462"/>
      <c r="I60" s="462"/>
      <c r="J60" s="462"/>
      <c r="K60" s="463"/>
      <c r="L60" s="462"/>
      <c r="M60" s="37"/>
      <c r="N60" s="346" t="s">
        <v>355</v>
      </c>
    </row>
    <row r="61" spans="1:14" ht="15" hidden="1" customHeight="1" x14ac:dyDescent="0.25">
      <c r="A61" s="390"/>
      <c r="B61" s="394"/>
      <c r="C61" s="37"/>
      <c r="D61" s="462"/>
      <c r="E61" s="462"/>
      <c r="F61" s="462"/>
      <c r="G61" s="462"/>
      <c r="H61" s="462"/>
      <c r="I61" s="462"/>
      <c r="J61" s="462"/>
      <c r="K61" s="463"/>
      <c r="L61" s="462"/>
      <c r="M61" s="37"/>
      <c r="N61" s="346" t="s">
        <v>355</v>
      </c>
    </row>
    <row r="62" spans="1:14" ht="12" customHeight="1" x14ac:dyDescent="0.25">
      <c r="A62" s="388" t="s">
        <v>22</v>
      </c>
      <c r="B62" s="393" t="s">
        <v>336</v>
      </c>
      <c r="C62" s="42"/>
      <c r="D62" s="461">
        <f>przepływy!D50</f>
        <v>0</v>
      </c>
      <c r="E62" s="461">
        <f>przepływy!E50</f>
        <v>0</v>
      </c>
      <c r="F62" s="461">
        <f>przepływy!F50</f>
        <v>0</v>
      </c>
      <c r="G62" s="461">
        <f>przepływy!G50</f>
        <v>0</v>
      </c>
      <c r="H62" s="461">
        <f>przepływy!H50</f>
        <v>0</v>
      </c>
      <c r="I62" s="461">
        <f>przepływy!I50</f>
        <v>0</v>
      </c>
      <c r="J62" s="461">
        <f>przepływy!J50</f>
        <v>0</v>
      </c>
      <c r="K62" s="467">
        <f>przepływy!K50</f>
        <v>0</v>
      </c>
      <c r="L62" s="461">
        <f>przepływy!L50</f>
        <v>0</v>
      </c>
      <c r="M62" s="42"/>
      <c r="N62" s="346" t="s">
        <v>355</v>
      </c>
    </row>
    <row r="63" spans="1:14" ht="12" hidden="1" customHeight="1" x14ac:dyDescent="0.25">
      <c r="A63" s="390"/>
      <c r="B63" s="394"/>
      <c r="C63" s="42"/>
      <c r="D63" s="461"/>
      <c r="E63" s="461"/>
      <c r="F63" s="461"/>
      <c r="G63" s="461"/>
      <c r="H63" s="461"/>
      <c r="I63" s="461"/>
      <c r="J63" s="461"/>
      <c r="K63" s="467"/>
      <c r="L63" s="461"/>
      <c r="M63" s="42"/>
      <c r="N63" s="346" t="s">
        <v>355</v>
      </c>
    </row>
    <row r="64" spans="1:14" ht="12" hidden="1" customHeight="1" x14ac:dyDescent="0.25">
      <c r="A64" s="390"/>
      <c r="B64" s="394"/>
      <c r="C64" s="42"/>
      <c r="D64" s="461">
        <f t="shared" ref="D64:K64" si="32">SUM(D65:D68)</f>
        <v>0</v>
      </c>
      <c r="E64" s="461">
        <f t="shared" si="32"/>
        <v>0</v>
      </c>
      <c r="F64" s="461">
        <f t="shared" si="32"/>
        <v>0</v>
      </c>
      <c r="G64" s="461">
        <f t="shared" si="32"/>
        <v>0</v>
      </c>
      <c r="H64" s="461">
        <f t="shared" si="32"/>
        <v>0</v>
      </c>
      <c r="I64" s="461">
        <f t="shared" si="32"/>
        <v>0</v>
      </c>
      <c r="J64" s="461">
        <f t="shared" si="32"/>
        <v>0</v>
      </c>
      <c r="K64" s="467">
        <f t="shared" si="32"/>
        <v>0</v>
      </c>
      <c r="L64" s="461">
        <f t="shared" ref="L64" si="33">SUM(L65:L68)</f>
        <v>0</v>
      </c>
      <c r="M64" s="42"/>
      <c r="N64" s="346" t="s">
        <v>355</v>
      </c>
    </row>
    <row r="65" spans="1:14" ht="12" hidden="1" customHeight="1" x14ac:dyDescent="0.25">
      <c r="A65" s="390"/>
      <c r="B65" s="395"/>
      <c r="C65" s="37"/>
      <c r="D65" s="462"/>
      <c r="E65" s="462"/>
      <c r="F65" s="462"/>
      <c r="G65" s="462"/>
      <c r="H65" s="462"/>
      <c r="I65" s="462"/>
      <c r="J65" s="462"/>
      <c r="K65" s="463"/>
      <c r="L65" s="462"/>
      <c r="M65" s="37"/>
      <c r="N65" s="346" t="s">
        <v>355</v>
      </c>
    </row>
    <row r="66" spans="1:14" ht="12" hidden="1" customHeight="1" x14ac:dyDescent="0.25">
      <c r="A66" s="390"/>
      <c r="B66" s="395"/>
      <c r="C66" s="37"/>
      <c r="D66" s="462"/>
      <c r="E66" s="462"/>
      <c r="F66" s="462"/>
      <c r="G66" s="462"/>
      <c r="H66" s="462"/>
      <c r="I66" s="462"/>
      <c r="J66" s="462"/>
      <c r="K66" s="463"/>
      <c r="L66" s="462"/>
      <c r="M66" s="37"/>
      <c r="N66" s="346" t="s">
        <v>355</v>
      </c>
    </row>
    <row r="67" spans="1:14" ht="12" hidden="1" customHeight="1" x14ac:dyDescent="0.25">
      <c r="A67" s="390"/>
      <c r="B67" s="395"/>
      <c r="C67" s="37"/>
      <c r="D67" s="462"/>
      <c r="E67" s="462"/>
      <c r="F67" s="462"/>
      <c r="G67" s="462"/>
      <c r="H67" s="462"/>
      <c r="I67" s="462"/>
      <c r="J67" s="462"/>
      <c r="K67" s="463"/>
      <c r="L67" s="462"/>
      <c r="M67" s="37"/>
      <c r="N67" s="346" t="s">
        <v>355</v>
      </c>
    </row>
    <row r="68" spans="1:14" ht="12" hidden="1" customHeight="1" x14ac:dyDescent="0.25">
      <c r="A68" s="390"/>
      <c r="B68" s="395"/>
      <c r="C68" s="37"/>
      <c r="D68" s="462"/>
      <c r="E68" s="462"/>
      <c r="F68" s="462"/>
      <c r="G68" s="462"/>
      <c r="H68" s="462"/>
      <c r="I68" s="462"/>
      <c r="J68" s="462"/>
      <c r="K68" s="463"/>
      <c r="L68" s="462"/>
      <c r="M68" s="37"/>
      <c r="N68" s="346" t="s">
        <v>355</v>
      </c>
    </row>
    <row r="69" spans="1:14" ht="12" hidden="1" customHeight="1" x14ac:dyDescent="0.25">
      <c r="A69" s="390"/>
      <c r="B69" s="395"/>
      <c r="C69" s="42"/>
      <c r="D69" s="461">
        <f t="shared" ref="D69:K69" si="34">SUM(D70:D73)</f>
        <v>0</v>
      </c>
      <c r="E69" s="461">
        <f t="shared" si="34"/>
        <v>0</v>
      </c>
      <c r="F69" s="461">
        <f t="shared" si="34"/>
        <v>0</v>
      </c>
      <c r="G69" s="461">
        <f t="shared" si="34"/>
        <v>0</v>
      </c>
      <c r="H69" s="461">
        <f t="shared" si="34"/>
        <v>0</v>
      </c>
      <c r="I69" s="461">
        <f t="shared" si="34"/>
        <v>0</v>
      </c>
      <c r="J69" s="461">
        <f t="shared" si="34"/>
        <v>0</v>
      </c>
      <c r="K69" s="467">
        <f t="shared" si="34"/>
        <v>0</v>
      </c>
      <c r="L69" s="461">
        <f t="shared" ref="L69" si="35">SUM(L70:L73)</f>
        <v>0</v>
      </c>
      <c r="M69" s="42"/>
      <c r="N69" s="346" t="s">
        <v>355</v>
      </c>
    </row>
    <row r="70" spans="1:14" ht="12" hidden="1" customHeight="1" x14ac:dyDescent="0.25">
      <c r="A70" s="390"/>
      <c r="B70" s="395"/>
      <c r="C70" s="37"/>
      <c r="D70" s="462"/>
      <c r="E70" s="462"/>
      <c r="F70" s="462"/>
      <c r="G70" s="462"/>
      <c r="H70" s="462"/>
      <c r="I70" s="462"/>
      <c r="J70" s="462"/>
      <c r="K70" s="463"/>
      <c r="L70" s="462"/>
      <c r="M70" s="37"/>
      <c r="N70" s="346" t="s">
        <v>355</v>
      </c>
    </row>
    <row r="71" spans="1:14" ht="12" hidden="1" customHeight="1" x14ac:dyDescent="0.25">
      <c r="A71" s="390"/>
      <c r="B71" s="395"/>
      <c r="C71" s="37"/>
      <c r="D71" s="462"/>
      <c r="E71" s="462"/>
      <c r="F71" s="462"/>
      <c r="G71" s="462"/>
      <c r="H71" s="462"/>
      <c r="I71" s="462"/>
      <c r="J71" s="462"/>
      <c r="K71" s="463"/>
      <c r="L71" s="462"/>
      <c r="M71" s="37"/>
      <c r="N71" s="346" t="s">
        <v>355</v>
      </c>
    </row>
    <row r="72" spans="1:14" ht="12" hidden="1" customHeight="1" x14ac:dyDescent="0.25">
      <c r="A72" s="390"/>
      <c r="B72" s="395"/>
      <c r="C72" s="37"/>
      <c r="D72" s="462"/>
      <c r="E72" s="462"/>
      <c r="F72" s="462"/>
      <c r="G72" s="462"/>
      <c r="H72" s="462"/>
      <c r="I72" s="462"/>
      <c r="J72" s="462"/>
      <c r="K72" s="463"/>
      <c r="L72" s="462"/>
      <c r="M72" s="37"/>
      <c r="N72" s="346" t="s">
        <v>355</v>
      </c>
    </row>
    <row r="73" spans="1:14" ht="12" hidden="1" customHeight="1" x14ac:dyDescent="0.25">
      <c r="A73" s="390"/>
      <c r="B73" s="395"/>
      <c r="C73" s="37"/>
      <c r="D73" s="462"/>
      <c r="E73" s="462"/>
      <c r="F73" s="462"/>
      <c r="G73" s="462"/>
      <c r="H73" s="462"/>
      <c r="I73" s="462"/>
      <c r="J73" s="462"/>
      <c r="K73" s="463"/>
      <c r="L73" s="462"/>
      <c r="M73" s="37"/>
      <c r="N73" s="346" t="s">
        <v>355</v>
      </c>
    </row>
    <row r="74" spans="1:14" ht="12" hidden="1" customHeight="1" x14ac:dyDescent="0.25">
      <c r="A74" s="390"/>
      <c r="B74" s="395"/>
      <c r="C74" s="37"/>
      <c r="D74" s="462"/>
      <c r="E74" s="462"/>
      <c r="F74" s="462"/>
      <c r="G74" s="462"/>
      <c r="H74" s="462"/>
      <c r="I74" s="462"/>
      <c r="J74" s="462"/>
      <c r="K74" s="463"/>
      <c r="L74" s="462"/>
      <c r="M74" s="37"/>
      <c r="N74" s="346" t="s">
        <v>355</v>
      </c>
    </row>
    <row r="75" spans="1:14" ht="12" hidden="1" customHeight="1" x14ac:dyDescent="0.25">
      <c r="A75" s="390"/>
      <c r="B75" s="395"/>
      <c r="C75" s="37"/>
      <c r="D75" s="462"/>
      <c r="E75" s="462"/>
      <c r="F75" s="462"/>
      <c r="G75" s="462"/>
      <c r="H75" s="462"/>
      <c r="I75" s="462"/>
      <c r="J75" s="462"/>
      <c r="K75" s="463"/>
      <c r="L75" s="462"/>
      <c r="M75" s="37"/>
      <c r="N75" s="346"/>
    </row>
    <row r="76" spans="1:14" ht="12" hidden="1" customHeight="1" x14ac:dyDescent="0.25">
      <c r="A76" s="390"/>
      <c r="B76" s="395"/>
      <c r="C76" s="37"/>
      <c r="D76" s="462"/>
      <c r="E76" s="462"/>
      <c r="F76" s="462"/>
      <c r="G76" s="462"/>
      <c r="H76" s="462"/>
      <c r="I76" s="462"/>
      <c r="J76" s="462"/>
      <c r="K76" s="463"/>
      <c r="L76" s="462"/>
      <c r="M76" s="37"/>
      <c r="N76" s="346"/>
    </row>
    <row r="77" spans="1:14" ht="12" hidden="1" customHeight="1" x14ac:dyDescent="0.25">
      <c r="A77" s="390"/>
      <c r="B77" s="395"/>
      <c r="C77" s="37"/>
      <c r="D77" s="462"/>
      <c r="E77" s="462"/>
      <c r="F77" s="462"/>
      <c r="G77" s="462"/>
      <c r="H77" s="462"/>
      <c r="I77" s="462"/>
      <c r="J77" s="462"/>
      <c r="K77" s="463"/>
      <c r="L77" s="462"/>
      <c r="M77" s="37"/>
      <c r="N77" s="346"/>
    </row>
    <row r="78" spans="1:14" ht="12" hidden="1" customHeight="1" x14ac:dyDescent="0.25">
      <c r="A78" s="390"/>
      <c r="B78" s="394"/>
      <c r="C78" s="37"/>
      <c r="D78" s="462"/>
      <c r="E78" s="462"/>
      <c r="F78" s="462"/>
      <c r="G78" s="462"/>
      <c r="H78" s="462"/>
      <c r="I78" s="462"/>
      <c r="J78" s="462"/>
      <c r="K78" s="463"/>
      <c r="L78" s="462"/>
      <c r="M78" s="37"/>
      <c r="N78" s="346"/>
    </row>
    <row r="79" spans="1:14" ht="12" customHeight="1" thickBot="1" x14ac:dyDescent="0.3">
      <c r="A79" s="396" t="s">
        <v>23</v>
      </c>
      <c r="B79" s="397" t="s">
        <v>337</v>
      </c>
      <c r="C79" s="97"/>
      <c r="D79" s="468">
        <f>C79</f>
        <v>0</v>
      </c>
      <c r="E79" s="468">
        <f t="shared" ref="E79:L79" si="36">D79</f>
        <v>0</v>
      </c>
      <c r="F79" s="468">
        <f t="shared" si="36"/>
        <v>0</v>
      </c>
      <c r="G79" s="468">
        <f t="shared" si="36"/>
        <v>0</v>
      </c>
      <c r="H79" s="468">
        <f t="shared" si="36"/>
        <v>0</v>
      </c>
      <c r="I79" s="468">
        <f t="shared" si="36"/>
        <v>0</v>
      </c>
      <c r="J79" s="468">
        <f t="shared" si="36"/>
        <v>0</v>
      </c>
      <c r="K79" s="468">
        <f t="shared" si="36"/>
        <v>0</v>
      </c>
      <c r="L79" s="468">
        <f t="shared" si="36"/>
        <v>0</v>
      </c>
      <c r="M79" s="97"/>
      <c r="N79" s="346" t="s">
        <v>355</v>
      </c>
    </row>
    <row r="80" spans="1:14" ht="12" customHeight="1" x14ac:dyDescent="0.25">
      <c r="A80" s="371"/>
      <c r="B80" s="372" t="str">
        <f>[1]Arkusz1!B80</f>
        <v>SUMA AKTYWÓW</v>
      </c>
      <c r="C80" s="373">
        <f>C6+C42</f>
        <v>0</v>
      </c>
      <c r="D80" s="373">
        <f t="shared" ref="D80:L80" si="37">D6+D42</f>
        <v>0</v>
      </c>
      <c r="E80" s="373">
        <f t="shared" si="37"/>
        <v>0</v>
      </c>
      <c r="F80" s="373">
        <f t="shared" si="37"/>
        <v>0</v>
      </c>
      <c r="G80" s="373">
        <f t="shared" si="37"/>
        <v>0</v>
      </c>
      <c r="H80" s="373">
        <f t="shared" si="37"/>
        <v>0</v>
      </c>
      <c r="I80" s="373">
        <f t="shared" si="37"/>
        <v>0</v>
      </c>
      <c r="J80" s="373">
        <f t="shared" si="37"/>
        <v>0</v>
      </c>
      <c r="K80" s="373">
        <f t="shared" si="37"/>
        <v>0</v>
      </c>
      <c r="L80" s="373">
        <f t="shared" si="37"/>
        <v>0</v>
      </c>
      <c r="M80" s="373">
        <f>M6+M42</f>
        <v>0</v>
      </c>
      <c r="N80" s="346"/>
    </row>
    <row r="81" spans="1:14" ht="12" customHeight="1" x14ac:dyDescent="0.25">
      <c r="A81" s="349"/>
      <c r="B81" s="350"/>
      <c r="C81" s="351"/>
      <c r="D81" s="457"/>
      <c r="E81" s="457"/>
      <c r="F81" s="457"/>
      <c r="G81" s="457"/>
      <c r="H81" s="457"/>
      <c r="I81" s="457"/>
      <c r="J81" s="457"/>
      <c r="K81" s="457"/>
      <c r="L81" s="458"/>
      <c r="M81" s="351"/>
      <c r="N81" s="346"/>
    </row>
    <row r="82" spans="1:14" ht="26.25" thickBot="1" x14ac:dyDescent="0.3">
      <c r="A82" s="374"/>
      <c r="B82" s="375" t="str">
        <f>[1]Arkusz1!B84</f>
        <v>TREŚĆ</v>
      </c>
      <c r="C82" s="376">
        <f t="shared" ref="C82:L82" si="38">C5</f>
        <v>2023</v>
      </c>
      <c r="D82" s="376">
        <f t="shared" si="38"/>
        <v>2024</v>
      </c>
      <c r="E82" s="376">
        <f t="shared" si="38"/>
        <v>2025</v>
      </c>
      <c r="F82" s="376">
        <f t="shared" si="38"/>
        <v>2026</v>
      </c>
      <c r="G82" s="376" t="str">
        <f t="shared" si="38"/>
        <v>rok 4</v>
      </c>
      <c r="H82" s="376" t="str">
        <f t="shared" si="38"/>
        <v>rok 5</v>
      </c>
      <c r="I82" s="376" t="str">
        <f t="shared" si="38"/>
        <v>rok 6</v>
      </c>
      <c r="J82" s="376" t="str">
        <f t="shared" si="38"/>
        <v>rok 7</v>
      </c>
      <c r="K82" s="377" t="str">
        <f t="shared" si="38"/>
        <v>rok 8</v>
      </c>
      <c r="L82" s="376" t="str">
        <f t="shared" si="38"/>
        <v>rok 9</v>
      </c>
      <c r="M82" s="376" t="str">
        <f t="shared" ref="M82" si="39">M5</f>
        <v>za ostatni kwartał</v>
      </c>
      <c r="N82" s="403"/>
    </row>
    <row r="83" spans="1:14" ht="12" customHeight="1" thickBot="1" x14ac:dyDescent="0.3">
      <c r="A83" s="649" t="s">
        <v>19</v>
      </c>
      <c r="B83" s="650" t="s">
        <v>293</v>
      </c>
      <c r="C83" s="651">
        <f>SUM(C84:C92)</f>
        <v>0</v>
      </c>
      <c r="D83" s="651">
        <f>SUM(D84:D92)+przepływy!D37</f>
        <v>0</v>
      </c>
      <c r="E83" s="651">
        <f>SUM(E84:E92)+przepływy!E37+przepływy!D37</f>
        <v>0</v>
      </c>
      <c r="F83" s="651">
        <f>SUM(F84:F92)+przepływy!F37+przepływy!E37+przepływy!D37</f>
        <v>0</v>
      </c>
      <c r="G83" s="651">
        <f>SUM(G84:G92)+przepływy!G37+przepływy!F37+przepływy!E37+przepływy!D37</f>
        <v>0</v>
      </c>
      <c r="H83" s="651">
        <f>SUM(H84:H92)+przepływy!H37+przepływy!G37+przepływy!F37+przepływy!E37+przepływy!D37</f>
        <v>0</v>
      </c>
      <c r="I83" s="651">
        <f>SUM(I84:I92)+przepływy!I37+przepływy!H37+przepływy!G37+przepływy!F37+przepływy!E37+przepływy!D37</f>
        <v>0</v>
      </c>
      <c r="J83" s="651">
        <f>SUM(J84:J92)+przepływy!J37+przepływy!I37+przepływy!H37+przepływy!G37+przepływy!F37+przepływy!E37+przepływy!D37</f>
        <v>0</v>
      </c>
      <c r="K83" s="652">
        <f>SUM(K84:K92)+przepływy!K37+przepływy!J37+przepływy!I37+przepływy!H37+przepływy!G37+przepływy!F37+przepływy!E37+przepływy!D37</f>
        <v>0</v>
      </c>
      <c r="L83" s="651">
        <f>SUM(L84:L92)+przepływy!L37+przepływy!K37+przepływy!J37+przepływy!I37+przepływy!H37+przepływy!G37+przepływy!F37+przepływy!E37+przepływy!D37</f>
        <v>0</v>
      </c>
      <c r="M83" s="651">
        <f>SUM(M84:M92)</f>
        <v>0</v>
      </c>
      <c r="N83" s="346"/>
    </row>
    <row r="84" spans="1:14" ht="12" customHeight="1" x14ac:dyDescent="0.25">
      <c r="A84" s="388"/>
      <c r="B84" s="389" t="s">
        <v>351</v>
      </c>
      <c r="C84" s="42"/>
      <c r="D84" s="461">
        <f>C84+przepływy!D36</f>
        <v>0</v>
      </c>
      <c r="E84" s="461">
        <f>D84+przepływy!E36</f>
        <v>0</v>
      </c>
      <c r="F84" s="461">
        <f>E84+przepływy!F36</f>
        <v>0</v>
      </c>
      <c r="G84" s="461">
        <f>F84+przepływy!G36</f>
        <v>0</v>
      </c>
      <c r="H84" s="461">
        <f>G84+przepływy!H36</f>
        <v>0</v>
      </c>
      <c r="I84" s="461">
        <f>H84+przepływy!I36</f>
        <v>0</v>
      </c>
      <c r="J84" s="461">
        <f>I84+przepływy!J36</f>
        <v>0</v>
      </c>
      <c r="K84" s="461">
        <f>J84+przepływy!K36</f>
        <v>0</v>
      </c>
      <c r="L84" s="461">
        <f>K84+przepływy!L36</f>
        <v>0</v>
      </c>
      <c r="M84" s="380">
        <f>C84</f>
        <v>0</v>
      </c>
      <c r="N84" s="346"/>
    </row>
    <row r="85" spans="1:14" ht="12" hidden="1" customHeight="1" x14ac:dyDescent="0.25">
      <c r="A85" s="388"/>
      <c r="B85" s="398"/>
      <c r="C85" s="37"/>
      <c r="D85" s="462"/>
      <c r="E85" s="462"/>
      <c r="F85" s="462"/>
      <c r="G85" s="462"/>
      <c r="H85" s="462"/>
      <c r="I85" s="462"/>
      <c r="J85" s="462"/>
      <c r="K85" s="463"/>
      <c r="L85" s="462"/>
      <c r="M85" s="37"/>
      <c r="N85" s="346" t="s">
        <v>355</v>
      </c>
    </row>
    <row r="86" spans="1:14" ht="12" hidden="1" customHeight="1" x14ac:dyDescent="0.25">
      <c r="A86" s="388"/>
      <c r="B86" s="398"/>
      <c r="C86" s="37"/>
      <c r="D86" s="462"/>
      <c r="E86" s="462"/>
      <c r="F86" s="462"/>
      <c r="G86" s="462"/>
      <c r="H86" s="462"/>
      <c r="I86" s="462"/>
      <c r="J86" s="462"/>
      <c r="K86" s="463"/>
      <c r="L86" s="462"/>
      <c r="M86" s="37"/>
      <c r="N86" s="346"/>
    </row>
    <row r="87" spans="1:14" ht="12" hidden="1" customHeight="1" x14ac:dyDescent="0.25">
      <c r="A87" s="388"/>
      <c r="B87" s="398"/>
      <c r="C87" s="37"/>
      <c r="D87" s="462"/>
      <c r="E87" s="462"/>
      <c r="F87" s="462"/>
      <c r="G87" s="462"/>
      <c r="H87" s="462"/>
      <c r="I87" s="462"/>
      <c r="J87" s="462"/>
      <c r="K87" s="463"/>
      <c r="L87" s="462"/>
      <c r="M87" s="37"/>
      <c r="N87" s="346" t="s">
        <v>355</v>
      </c>
    </row>
    <row r="88" spans="1:14" ht="12" hidden="1" customHeight="1" x14ac:dyDescent="0.25">
      <c r="A88" s="388"/>
      <c r="B88" s="398"/>
      <c r="C88" s="37"/>
      <c r="D88" s="462"/>
      <c r="E88" s="462"/>
      <c r="F88" s="462"/>
      <c r="G88" s="462"/>
      <c r="H88" s="462"/>
      <c r="I88" s="462"/>
      <c r="J88" s="462"/>
      <c r="K88" s="463"/>
      <c r="L88" s="462"/>
      <c r="M88" s="37"/>
      <c r="N88" s="346"/>
    </row>
    <row r="89" spans="1:14" ht="12" hidden="1" customHeight="1" x14ac:dyDescent="0.25">
      <c r="A89" s="388"/>
      <c r="B89" s="398"/>
      <c r="C89" s="37"/>
      <c r="D89" s="462"/>
      <c r="E89" s="462"/>
      <c r="F89" s="462"/>
      <c r="G89" s="462"/>
      <c r="H89" s="462"/>
      <c r="I89" s="462"/>
      <c r="J89" s="462"/>
      <c r="K89" s="463"/>
      <c r="L89" s="462"/>
      <c r="M89" s="37"/>
      <c r="N89" s="346" t="s">
        <v>355</v>
      </c>
    </row>
    <row r="90" spans="1:14" ht="12" customHeight="1" x14ac:dyDescent="0.25">
      <c r="A90" s="388"/>
      <c r="B90" s="389" t="s">
        <v>343</v>
      </c>
      <c r="C90" s="42"/>
      <c r="D90" s="461">
        <f>C90+C91</f>
        <v>0</v>
      </c>
      <c r="E90" s="461">
        <f t="shared" ref="E90:L90" si="40">D90+D91</f>
        <v>0</v>
      </c>
      <c r="F90" s="461">
        <f t="shared" si="40"/>
        <v>0</v>
      </c>
      <c r="G90" s="461">
        <f t="shared" si="40"/>
        <v>0</v>
      </c>
      <c r="H90" s="461">
        <f t="shared" si="40"/>
        <v>0</v>
      </c>
      <c r="I90" s="461">
        <f t="shared" si="40"/>
        <v>0</v>
      </c>
      <c r="J90" s="461">
        <f t="shared" si="40"/>
        <v>0</v>
      </c>
      <c r="K90" s="461">
        <f t="shared" si="40"/>
        <v>0</v>
      </c>
      <c r="L90" s="461">
        <f t="shared" si="40"/>
        <v>0</v>
      </c>
      <c r="M90" s="378">
        <f>C91+C90</f>
        <v>0</v>
      </c>
      <c r="N90" s="346" t="s">
        <v>365</v>
      </c>
    </row>
    <row r="91" spans="1:14" ht="12" customHeight="1" x14ac:dyDescent="0.25">
      <c r="A91" s="388"/>
      <c r="B91" s="389" t="s">
        <v>344</v>
      </c>
      <c r="C91" s="42"/>
      <c r="D91" s="461">
        <f>RZiS!F56</f>
        <v>0</v>
      </c>
      <c r="E91" s="461">
        <f>RZiS!G56</f>
        <v>0</v>
      </c>
      <c r="F91" s="461">
        <f>RZiS!H56</f>
        <v>0</v>
      </c>
      <c r="G91" s="461">
        <f>RZiS!I56</f>
        <v>0</v>
      </c>
      <c r="H91" s="461">
        <f>RZiS!J56</f>
        <v>0</v>
      </c>
      <c r="I91" s="461">
        <f>RZiS!K56</f>
        <v>0</v>
      </c>
      <c r="J91" s="461">
        <f>RZiS!L56</f>
        <v>0</v>
      </c>
      <c r="K91" s="461">
        <f>RZiS!M56</f>
        <v>0</v>
      </c>
      <c r="L91" s="461">
        <f>RZiS!N56</f>
        <v>0</v>
      </c>
      <c r="M91" s="378">
        <f>RZiS!Q56</f>
        <v>0</v>
      </c>
      <c r="N91" s="346" t="s">
        <v>365</v>
      </c>
    </row>
    <row r="92" spans="1:14" ht="13.5" customHeight="1" thickBot="1" x14ac:dyDescent="0.3">
      <c r="A92" s="399"/>
      <c r="B92" s="389" t="s">
        <v>89</v>
      </c>
      <c r="C92" s="42"/>
      <c r="D92" s="461">
        <f>C92</f>
        <v>0</v>
      </c>
      <c r="E92" s="461">
        <f t="shared" ref="E92:L92" si="41">D92</f>
        <v>0</v>
      </c>
      <c r="F92" s="461">
        <f t="shared" si="41"/>
        <v>0</v>
      </c>
      <c r="G92" s="461">
        <f t="shared" si="41"/>
        <v>0</v>
      </c>
      <c r="H92" s="461">
        <f t="shared" si="41"/>
        <v>0</v>
      </c>
      <c r="I92" s="461">
        <f t="shared" si="41"/>
        <v>0</v>
      </c>
      <c r="J92" s="461">
        <f t="shared" si="41"/>
        <v>0</v>
      </c>
      <c r="K92" s="461">
        <f t="shared" si="41"/>
        <v>0</v>
      </c>
      <c r="L92" s="461">
        <f t="shared" si="41"/>
        <v>0</v>
      </c>
      <c r="M92" s="96"/>
      <c r="N92" s="346" t="s">
        <v>355</v>
      </c>
    </row>
    <row r="93" spans="1:14" ht="12" customHeight="1" thickBot="1" x14ac:dyDescent="0.3">
      <c r="A93" s="649" t="s">
        <v>24</v>
      </c>
      <c r="B93" s="650" t="s">
        <v>292</v>
      </c>
      <c r="C93" s="651">
        <f>C94+C102+C109+C129</f>
        <v>0</v>
      </c>
      <c r="D93" s="651">
        <f>D94+D102+D109+D129</f>
        <v>0</v>
      </c>
      <c r="E93" s="651">
        <f t="shared" ref="E93:L93" si="42">E94+E102+E109+E129</f>
        <v>0</v>
      </c>
      <c r="F93" s="651">
        <f t="shared" si="42"/>
        <v>0</v>
      </c>
      <c r="G93" s="651">
        <f t="shared" si="42"/>
        <v>0</v>
      </c>
      <c r="H93" s="651">
        <f t="shared" si="42"/>
        <v>0</v>
      </c>
      <c r="I93" s="651">
        <f t="shared" si="42"/>
        <v>0</v>
      </c>
      <c r="J93" s="651">
        <f t="shared" si="42"/>
        <v>0</v>
      </c>
      <c r="K93" s="652">
        <f t="shared" si="42"/>
        <v>0</v>
      </c>
      <c r="L93" s="651">
        <f t="shared" si="42"/>
        <v>0</v>
      </c>
      <c r="M93" s="651">
        <f>M94+M102+M109+M129</f>
        <v>0</v>
      </c>
      <c r="N93" s="346"/>
    </row>
    <row r="94" spans="1:14" ht="12" customHeight="1" x14ac:dyDescent="0.25">
      <c r="A94" s="388" t="s">
        <v>20</v>
      </c>
      <c r="B94" s="393" t="s">
        <v>345</v>
      </c>
      <c r="C94" s="42"/>
      <c r="D94" s="469">
        <f>C94</f>
        <v>0</v>
      </c>
      <c r="E94" s="469">
        <f t="shared" ref="E94:L94" si="43">D94</f>
        <v>0</v>
      </c>
      <c r="F94" s="469">
        <f t="shared" si="43"/>
        <v>0</v>
      </c>
      <c r="G94" s="469">
        <f t="shared" si="43"/>
        <v>0</v>
      </c>
      <c r="H94" s="469">
        <f t="shared" si="43"/>
        <v>0</v>
      </c>
      <c r="I94" s="469">
        <f t="shared" si="43"/>
        <v>0</v>
      </c>
      <c r="J94" s="469">
        <f t="shared" si="43"/>
        <v>0</v>
      </c>
      <c r="K94" s="469">
        <f t="shared" si="43"/>
        <v>0</v>
      </c>
      <c r="L94" s="469">
        <f t="shared" si="43"/>
        <v>0</v>
      </c>
      <c r="M94" s="42"/>
      <c r="N94" s="346" t="s">
        <v>355</v>
      </c>
    </row>
    <row r="95" spans="1:14" ht="12" hidden="1" customHeight="1" x14ac:dyDescent="0.25">
      <c r="A95" s="390"/>
      <c r="B95" s="394"/>
      <c r="C95" s="345"/>
      <c r="D95" s="462"/>
      <c r="E95" s="462"/>
      <c r="F95" s="462"/>
      <c r="G95" s="462"/>
      <c r="H95" s="462"/>
      <c r="I95" s="462"/>
      <c r="J95" s="462"/>
      <c r="K95" s="463"/>
      <c r="L95" s="462"/>
      <c r="M95" s="345"/>
      <c r="N95" s="346" t="s">
        <v>355</v>
      </c>
    </row>
    <row r="96" spans="1:14" ht="12" hidden="1" customHeight="1" x14ac:dyDescent="0.25">
      <c r="A96" s="390"/>
      <c r="B96" s="394"/>
      <c r="C96" s="345"/>
      <c r="D96" s="462"/>
      <c r="E96" s="462"/>
      <c r="F96" s="462"/>
      <c r="G96" s="462"/>
      <c r="H96" s="462"/>
      <c r="I96" s="462"/>
      <c r="J96" s="462"/>
      <c r="K96" s="463"/>
      <c r="L96" s="462"/>
      <c r="M96" s="345"/>
      <c r="N96" s="346" t="s">
        <v>355</v>
      </c>
    </row>
    <row r="97" spans="1:14" ht="12" hidden="1" customHeight="1" x14ac:dyDescent="0.25">
      <c r="A97" s="390"/>
      <c r="B97" s="394"/>
      <c r="C97" s="345"/>
      <c r="D97" s="462"/>
      <c r="E97" s="462"/>
      <c r="F97" s="462"/>
      <c r="G97" s="462"/>
      <c r="H97" s="462"/>
      <c r="I97" s="462"/>
      <c r="J97" s="462"/>
      <c r="K97" s="463"/>
      <c r="L97" s="462"/>
      <c r="M97" s="345"/>
      <c r="N97" s="346"/>
    </row>
    <row r="98" spans="1:14" ht="12" hidden="1" customHeight="1" x14ac:dyDescent="0.25">
      <c r="A98" s="390"/>
      <c r="B98" s="394"/>
      <c r="C98" s="345"/>
      <c r="D98" s="462"/>
      <c r="E98" s="462"/>
      <c r="F98" s="462"/>
      <c r="G98" s="462"/>
      <c r="H98" s="462"/>
      <c r="I98" s="462"/>
      <c r="J98" s="462"/>
      <c r="K98" s="463"/>
      <c r="L98" s="462"/>
      <c r="M98" s="345"/>
      <c r="N98" s="346"/>
    </row>
    <row r="99" spans="1:14" ht="12" hidden="1" customHeight="1" x14ac:dyDescent="0.25">
      <c r="A99" s="390"/>
      <c r="B99" s="394"/>
      <c r="C99" s="345"/>
      <c r="D99" s="462"/>
      <c r="E99" s="462"/>
      <c r="F99" s="462"/>
      <c r="G99" s="462"/>
      <c r="H99" s="462"/>
      <c r="I99" s="462"/>
      <c r="J99" s="462"/>
      <c r="K99" s="463"/>
      <c r="L99" s="462"/>
      <c r="M99" s="345"/>
      <c r="N99" s="346"/>
    </row>
    <row r="100" spans="1:14" ht="12" hidden="1" customHeight="1" x14ac:dyDescent="0.25">
      <c r="A100" s="390"/>
      <c r="B100" s="394"/>
      <c r="C100" s="345"/>
      <c r="D100" s="462"/>
      <c r="E100" s="462"/>
      <c r="F100" s="462"/>
      <c r="G100" s="462"/>
      <c r="H100" s="462"/>
      <c r="I100" s="462"/>
      <c r="J100" s="462"/>
      <c r="K100" s="463"/>
      <c r="L100" s="462"/>
      <c r="M100" s="345"/>
      <c r="N100" s="346"/>
    </row>
    <row r="101" spans="1:14" ht="12" hidden="1" customHeight="1" x14ac:dyDescent="0.25">
      <c r="A101" s="390"/>
      <c r="B101" s="394"/>
      <c r="C101" s="345"/>
      <c r="D101" s="462"/>
      <c r="E101" s="462"/>
      <c r="F101" s="462"/>
      <c r="G101" s="462"/>
      <c r="H101" s="462"/>
      <c r="I101" s="462"/>
      <c r="J101" s="462"/>
      <c r="K101" s="463"/>
      <c r="L101" s="462"/>
      <c r="M101" s="345"/>
      <c r="N101" s="346"/>
    </row>
    <row r="102" spans="1:14" ht="12" customHeight="1" x14ac:dyDescent="0.25">
      <c r="A102" s="388" t="s">
        <v>21</v>
      </c>
      <c r="B102" s="393" t="s">
        <v>346</v>
      </c>
      <c r="C102" s="379">
        <f>SUM(C103:C104)</f>
        <v>0</v>
      </c>
      <c r="D102" s="461">
        <f t="shared" ref="D102:K102" si="44">SUM(D103:D104)</f>
        <v>0</v>
      </c>
      <c r="E102" s="461">
        <f t="shared" si="44"/>
        <v>0</v>
      </c>
      <c r="F102" s="461">
        <f t="shared" si="44"/>
        <v>0</v>
      </c>
      <c r="G102" s="461">
        <f t="shared" si="44"/>
        <v>0</v>
      </c>
      <c r="H102" s="461">
        <f t="shared" si="44"/>
        <v>0</v>
      </c>
      <c r="I102" s="461">
        <f t="shared" si="44"/>
        <v>0</v>
      </c>
      <c r="J102" s="461">
        <f t="shared" si="44"/>
        <v>0</v>
      </c>
      <c r="K102" s="467">
        <f t="shared" si="44"/>
        <v>0</v>
      </c>
      <c r="L102" s="461">
        <f t="shared" ref="L102" si="45">SUM(L103:L104)</f>
        <v>0</v>
      </c>
      <c r="M102" s="379">
        <f>SUM(M103:M104)</f>
        <v>0</v>
      </c>
      <c r="N102" s="346"/>
    </row>
    <row r="103" spans="1:14" ht="12" hidden="1" customHeight="1" x14ac:dyDescent="0.25">
      <c r="A103" s="390"/>
      <c r="B103" s="394"/>
      <c r="C103" s="368"/>
      <c r="D103" s="462">
        <f>C103</f>
        <v>0</v>
      </c>
      <c r="E103" s="462">
        <f t="shared" ref="E103:L103" si="46">D103</f>
        <v>0</v>
      </c>
      <c r="F103" s="462">
        <f t="shared" si="46"/>
        <v>0</v>
      </c>
      <c r="G103" s="462">
        <f t="shared" si="46"/>
        <v>0</v>
      </c>
      <c r="H103" s="462">
        <f t="shared" si="46"/>
        <v>0</v>
      </c>
      <c r="I103" s="462">
        <f t="shared" si="46"/>
        <v>0</v>
      </c>
      <c r="J103" s="462">
        <f t="shared" si="46"/>
        <v>0</v>
      </c>
      <c r="K103" s="462">
        <f t="shared" si="46"/>
        <v>0</v>
      </c>
      <c r="L103" s="462">
        <f t="shared" si="46"/>
        <v>0</v>
      </c>
      <c r="M103" s="368"/>
      <c r="N103" s="346" t="s">
        <v>355</v>
      </c>
    </row>
    <row r="104" spans="1:14" ht="12" hidden="1" customHeight="1" x14ac:dyDescent="0.25">
      <c r="A104" s="390"/>
      <c r="B104" s="394"/>
      <c r="C104" s="370">
        <f>SUM(C105,C108)</f>
        <v>0</v>
      </c>
      <c r="D104" s="462">
        <f t="shared" ref="D104:L104" si="47">SUM(D105,D108)</f>
        <v>0</v>
      </c>
      <c r="E104" s="462">
        <f t="shared" si="47"/>
        <v>0</v>
      </c>
      <c r="F104" s="462">
        <f t="shared" si="47"/>
        <v>0</v>
      </c>
      <c r="G104" s="462">
        <f t="shared" si="47"/>
        <v>0</v>
      </c>
      <c r="H104" s="462">
        <f t="shared" si="47"/>
        <v>0</v>
      </c>
      <c r="I104" s="462">
        <f t="shared" si="47"/>
        <v>0</v>
      </c>
      <c r="J104" s="462">
        <f t="shared" si="47"/>
        <v>0</v>
      </c>
      <c r="K104" s="462">
        <f t="shared" si="47"/>
        <v>0</v>
      </c>
      <c r="L104" s="462">
        <f t="shared" si="47"/>
        <v>0</v>
      </c>
      <c r="M104" s="370">
        <f>SUM(M105,M108)</f>
        <v>0</v>
      </c>
      <c r="N104" s="346"/>
    </row>
    <row r="105" spans="1:14" ht="12" customHeight="1" x14ac:dyDescent="0.25">
      <c r="A105" s="390"/>
      <c r="B105" s="394" t="s">
        <v>332</v>
      </c>
      <c r="C105" s="370">
        <f>C106+C107</f>
        <v>0</v>
      </c>
      <c r="D105" s="462">
        <f t="shared" ref="D105:L105" si="48">D106+D107</f>
        <v>0</v>
      </c>
      <c r="E105" s="462">
        <f t="shared" si="48"/>
        <v>0</v>
      </c>
      <c r="F105" s="462">
        <f t="shared" si="48"/>
        <v>0</v>
      </c>
      <c r="G105" s="462">
        <f t="shared" si="48"/>
        <v>0</v>
      </c>
      <c r="H105" s="462">
        <f t="shared" si="48"/>
        <v>0</v>
      </c>
      <c r="I105" s="462">
        <f t="shared" si="48"/>
        <v>0</v>
      </c>
      <c r="J105" s="462">
        <f t="shared" si="48"/>
        <v>0</v>
      </c>
      <c r="K105" s="462">
        <f t="shared" si="48"/>
        <v>0</v>
      </c>
      <c r="L105" s="462">
        <f t="shared" si="48"/>
        <v>0</v>
      </c>
      <c r="M105" s="370">
        <f>M106+M107</f>
        <v>0</v>
      </c>
      <c r="N105" s="346"/>
    </row>
    <row r="106" spans="1:14" x14ac:dyDescent="0.25">
      <c r="A106" s="390"/>
      <c r="B106" s="394" t="s">
        <v>382</v>
      </c>
      <c r="C106" s="370"/>
      <c r="D106" s="462">
        <f>IF(przepływy!D31=0,0,przepływy!D31+przepływy!D34+przepływy!E34)</f>
        <v>0</v>
      </c>
      <c r="E106" s="462">
        <f>IF(przepływy!D31=0,przepływy!E31+przepływy!E34+przepływy!F34,D106-E118)</f>
        <v>0</v>
      </c>
      <c r="F106" s="462">
        <f t="shared" ref="F106:L106" si="49">E106-F118</f>
        <v>0</v>
      </c>
      <c r="G106" s="462">
        <f t="shared" si="49"/>
        <v>0</v>
      </c>
      <c r="H106" s="462">
        <f t="shared" si="49"/>
        <v>0</v>
      </c>
      <c r="I106" s="462">
        <f t="shared" si="49"/>
        <v>0</v>
      </c>
      <c r="J106" s="462">
        <f t="shared" si="49"/>
        <v>0</v>
      </c>
      <c r="K106" s="462">
        <f t="shared" si="49"/>
        <v>0</v>
      </c>
      <c r="L106" s="462">
        <f t="shared" si="49"/>
        <v>0</v>
      </c>
      <c r="M106" s="370"/>
      <c r="N106" s="346"/>
    </row>
    <row r="107" spans="1:14" ht="12" customHeight="1" x14ac:dyDescent="0.25">
      <c r="A107" s="390"/>
      <c r="B107" s="394" t="s">
        <v>310</v>
      </c>
      <c r="C107" s="37"/>
      <c r="D107" s="462">
        <f>C107-D119+'plan sprzedaży i zakupów '!C31</f>
        <v>0</v>
      </c>
      <c r="E107" s="462">
        <f>D107-E119</f>
        <v>0</v>
      </c>
      <c r="F107" s="462">
        <f t="shared" ref="F107:L107" si="50">E107-F119</f>
        <v>0</v>
      </c>
      <c r="G107" s="462">
        <f t="shared" si="50"/>
        <v>0</v>
      </c>
      <c r="H107" s="462">
        <f t="shared" si="50"/>
        <v>0</v>
      </c>
      <c r="I107" s="462">
        <f t="shared" si="50"/>
        <v>0</v>
      </c>
      <c r="J107" s="462">
        <f t="shared" si="50"/>
        <v>0</v>
      </c>
      <c r="K107" s="462">
        <f t="shared" si="50"/>
        <v>0</v>
      </c>
      <c r="L107" s="462">
        <f t="shared" si="50"/>
        <v>0</v>
      </c>
      <c r="M107" s="37"/>
      <c r="N107" s="346" t="s">
        <v>355</v>
      </c>
    </row>
    <row r="108" spans="1:14" ht="12" customHeight="1" x14ac:dyDescent="0.25">
      <c r="A108" s="400"/>
      <c r="B108" s="394" t="s">
        <v>335</v>
      </c>
      <c r="C108" s="37"/>
      <c r="D108" s="462">
        <f>C108</f>
        <v>0</v>
      </c>
      <c r="E108" s="462">
        <f t="shared" ref="E108:L108" si="51">D108</f>
        <v>0</v>
      </c>
      <c r="F108" s="462">
        <f t="shared" si="51"/>
        <v>0</v>
      </c>
      <c r="G108" s="462">
        <f t="shared" si="51"/>
        <v>0</v>
      </c>
      <c r="H108" s="462">
        <f t="shared" si="51"/>
        <v>0</v>
      </c>
      <c r="I108" s="462">
        <f t="shared" si="51"/>
        <v>0</v>
      </c>
      <c r="J108" s="462">
        <f t="shared" si="51"/>
        <v>0</v>
      </c>
      <c r="K108" s="462">
        <f t="shared" si="51"/>
        <v>0</v>
      </c>
      <c r="L108" s="462">
        <f t="shared" si="51"/>
        <v>0</v>
      </c>
      <c r="M108" s="37"/>
      <c r="N108" s="346" t="s">
        <v>355</v>
      </c>
    </row>
    <row r="109" spans="1:14" ht="12" customHeight="1" x14ac:dyDescent="0.25">
      <c r="A109" s="388" t="s">
        <v>22</v>
      </c>
      <c r="B109" s="393" t="s">
        <v>347</v>
      </c>
      <c r="C109" s="379">
        <f>C116+C128</f>
        <v>0</v>
      </c>
      <c r="D109" s="379">
        <f t="shared" ref="D109:L109" si="52">D116+D128</f>
        <v>0</v>
      </c>
      <c r="E109" s="379">
        <f t="shared" si="52"/>
        <v>0</v>
      </c>
      <c r="F109" s="379">
        <f t="shared" si="52"/>
        <v>0</v>
      </c>
      <c r="G109" s="379">
        <f t="shared" si="52"/>
        <v>0</v>
      </c>
      <c r="H109" s="379">
        <f t="shared" si="52"/>
        <v>0</v>
      </c>
      <c r="I109" s="379">
        <f t="shared" si="52"/>
        <v>0</v>
      </c>
      <c r="J109" s="379">
        <f t="shared" si="52"/>
        <v>0</v>
      </c>
      <c r="K109" s="379">
        <f t="shared" si="52"/>
        <v>0</v>
      </c>
      <c r="L109" s="379">
        <f t="shared" si="52"/>
        <v>0</v>
      </c>
      <c r="M109" s="379">
        <f>M116+M128</f>
        <v>0</v>
      </c>
      <c r="N109" s="346"/>
    </row>
    <row r="110" spans="1:14" ht="12" hidden="1" customHeight="1" x14ac:dyDescent="0.25">
      <c r="A110" s="390"/>
      <c r="B110" s="394"/>
      <c r="C110" s="368"/>
      <c r="D110" s="368">
        <f>C110</f>
        <v>0</v>
      </c>
      <c r="E110" s="368">
        <f t="shared" ref="E110:L110" si="53">D110</f>
        <v>0</v>
      </c>
      <c r="F110" s="368">
        <f t="shared" si="53"/>
        <v>0</v>
      </c>
      <c r="G110" s="368">
        <f t="shared" si="53"/>
        <v>0</v>
      </c>
      <c r="H110" s="368">
        <f t="shared" si="53"/>
        <v>0</v>
      </c>
      <c r="I110" s="368">
        <f t="shared" si="53"/>
        <v>0</v>
      </c>
      <c r="J110" s="368">
        <f t="shared" si="53"/>
        <v>0</v>
      </c>
      <c r="K110" s="368">
        <f t="shared" si="53"/>
        <v>0</v>
      </c>
      <c r="L110" s="368">
        <f t="shared" si="53"/>
        <v>0</v>
      </c>
      <c r="M110" s="368"/>
      <c r="N110" s="346"/>
    </row>
    <row r="111" spans="1:14" ht="12" hidden="1" customHeight="1" x14ac:dyDescent="0.25">
      <c r="A111" s="390"/>
      <c r="B111" s="394"/>
      <c r="C111" s="368"/>
      <c r="D111" s="368"/>
      <c r="E111" s="368"/>
      <c r="F111" s="368"/>
      <c r="G111" s="368"/>
      <c r="H111" s="368"/>
      <c r="I111" s="368"/>
      <c r="J111" s="368"/>
      <c r="K111" s="369"/>
      <c r="L111" s="368"/>
      <c r="M111" s="368"/>
      <c r="N111" s="346"/>
    </row>
    <row r="112" spans="1:14" ht="12" hidden="1" customHeight="1" x14ac:dyDescent="0.25">
      <c r="A112" s="390"/>
      <c r="B112" s="394"/>
      <c r="C112" s="368"/>
      <c r="D112" s="368"/>
      <c r="E112" s="368"/>
      <c r="F112" s="368"/>
      <c r="G112" s="368"/>
      <c r="H112" s="368"/>
      <c r="I112" s="368"/>
      <c r="J112" s="368"/>
      <c r="K112" s="369"/>
      <c r="L112" s="368"/>
      <c r="M112" s="368"/>
      <c r="N112" s="346"/>
    </row>
    <row r="113" spans="1:14" ht="12" hidden="1" customHeight="1" x14ac:dyDescent="0.25">
      <c r="A113" s="390"/>
      <c r="B113" s="394"/>
      <c r="C113" s="368"/>
      <c r="D113" s="368"/>
      <c r="E113" s="368"/>
      <c r="F113" s="368"/>
      <c r="G113" s="368"/>
      <c r="H113" s="368"/>
      <c r="I113" s="368"/>
      <c r="J113" s="368"/>
      <c r="K113" s="369"/>
      <c r="L113" s="368"/>
      <c r="M113" s="368"/>
      <c r="N113" s="346"/>
    </row>
    <row r="114" spans="1:14" ht="12" hidden="1" customHeight="1" x14ac:dyDescent="0.25">
      <c r="A114" s="390"/>
      <c r="B114" s="401"/>
      <c r="C114" s="368"/>
      <c r="D114" s="368"/>
      <c r="E114" s="368"/>
      <c r="F114" s="368"/>
      <c r="G114" s="368"/>
      <c r="H114" s="368"/>
      <c r="I114" s="368"/>
      <c r="J114" s="368"/>
      <c r="K114" s="369"/>
      <c r="L114" s="368"/>
      <c r="M114" s="368"/>
      <c r="N114" s="346"/>
    </row>
    <row r="115" spans="1:14" ht="12" hidden="1" customHeight="1" x14ac:dyDescent="0.25">
      <c r="A115" s="390"/>
      <c r="B115" s="394"/>
      <c r="C115" s="368"/>
      <c r="D115" s="368"/>
      <c r="E115" s="368"/>
      <c r="F115" s="368"/>
      <c r="G115" s="368"/>
      <c r="H115" s="368"/>
      <c r="I115" s="368"/>
      <c r="J115" s="368"/>
      <c r="K115" s="369"/>
      <c r="L115" s="368"/>
      <c r="M115" s="368"/>
      <c r="N115" s="346"/>
    </row>
    <row r="116" spans="1:14" ht="12" hidden="1" customHeight="1" x14ac:dyDescent="0.25">
      <c r="A116" s="390" t="s">
        <v>42</v>
      </c>
      <c r="B116" s="394" t="str">
        <f>[1]Arkusz1!B119</f>
        <v>Wobec pozostałych jednostek</v>
      </c>
      <c r="C116" s="370">
        <f>C117+C120+C127</f>
        <v>0</v>
      </c>
      <c r="D116" s="368">
        <f>D117+D120+D127</f>
        <v>0</v>
      </c>
      <c r="E116" s="368">
        <f t="shared" ref="E116:L116" si="54">E117+E120+E127</f>
        <v>0</v>
      </c>
      <c r="F116" s="368">
        <f t="shared" si="54"/>
        <v>0</v>
      </c>
      <c r="G116" s="368">
        <f t="shared" si="54"/>
        <v>0</v>
      </c>
      <c r="H116" s="368">
        <f t="shared" si="54"/>
        <v>0</v>
      </c>
      <c r="I116" s="368">
        <f t="shared" si="54"/>
        <v>0</v>
      </c>
      <c r="J116" s="368">
        <f t="shared" si="54"/>
        <v>0</v>
      </c>
      <c r="K116" s="368">
        <f t="shared" si="54"/>
        <v>0</v>
      </c>
      <c r="L116" s="368">
        <f t="shared" si="54"/>
        <v>0</v>
      </c>
      <c r="M116" s="370">
        <f>M117+M120+M127</f>
        <v>0</v>
      </c>
      <c r="N116" s="346"/>
    </row>
    <row r="117" spans="1:14" ht="12" customHeight="1" x14ac:dyDescent="0.25">
      <c r="A117" s="390"/>
      <c r="B117" s="394" t="s">
        <v>332</v>
      </c>
      <c r="C117" s="370">
        <f>C118+C119</f>
        <v>0</v>
      </c>
      <c r="D117" s="462">
        <f t="shared" ref="D117:L117" si="55">D118+D119</f>
        <v>0</v>
      </c>
      <c r="E117" s="462">
        <f t="shared" si="55"/>
        <v>0</v>
      </c>
      <c r="F117" s="462">
        <f t="shared" si="55"/>
        <v>0</v>
      </c>
      <c r="G117" s="462">
        <f t="shared" si="55"/>
        <v>0</v>
      </c>
      <c r="H117" s="462">
        <f t="shared" si="55"/>
        <v>0</v>
      </c>
      <c r="I117" s="462">
        <f t="shared" si="55"/>
        <v>0</v>
      </c>
      <c r="J117" s="462">
        <f t="shared" si="55"/>
        <v>0</v>
      </c>
      <c r="K117" s="462">
        <f t="shared" si="55"/>
        <v>0</v>
      </c>
      <c r="L117" s="462">
        <f t="shared" si="55"/>
        <v>0</v>
      </c>
      <c r="M117" s="370">
        <f>M118+M119</f>
        <v>0</v>
      </c>
      <c r="N117" s="346"/>
    </row>
    <row r="118" spans="1:14" x14ac:dyDescent="0.25">
      <c r="A118" s="390"/>
      <c r="B118" s="394" t="s">
        <v>383</v>
      </c>
      <c r="C118" s="370"/>
      <c r="D118" s="462">
        <f>IF(przepływy!D31=0,0,-przepływy!E34)</f>
        <v>0</v>
      </c>
      <c r="E118" s="462">
        <f>-przepływy!F34</f>
        <v>0</v>
      </c>
      <c r="F118" s="462">
        <f>-przepływy!G34</f>
        <v>0</v>
      </c>
      <c r="G118" s="462">
        <f>-przepływy!H34</f>
        <v>0</v>
      </c>
      <c r="H118" s="462">
        <f>-przepływy!I34</f>
        <v>0</v>
      </c>
      <c r="I118" s="462">
        <f>-przepływy!J34</f>
        <v>0</v>
      </c>
      <c r="J118" s="462">
        <f>-przepływy!K34</f>
        <v>0</v>
      </c>
      <c r="K118" s="462">
        <f>-przepływy!L34</f>
        <v>0</v>
      </c>
      <c r="L118" s="462">
        <f>-przepływy!M34</f>
        <v>0</v>
      </c>
      <c r="M118" s="370"/>
      <c r="N118" s="346"/>
    </row>
    <row r="119" spans="1:14" ht="12" customHeight="1" x14ac:dyDescent="0.25">
      <c r="A119" s="390"/>
      <c r="B119" s="394" t="s">
        <v>91</v>
      </c>
      <c r="C119" s="37"/>
      <c r="D119" s="462">
        <f>-'plan sprzedaży i zakupów '!D25</f>
        <v>0</v>
      </c>
      <c r="E119" s="462">
        <f>-'plan sprzedaży i zakupów '!E25</f>
        <v>0</v>
      </c>
      <c r="F119" s="462">
        <f>-'plan sprzedaży i zakupów '!F25</f>
        <v>0</v>
      </c>
      <c r="G119" s="462">
        <f>-'plan sprzedaży i zakupów '!G25</f>
        <v>0</v>
      </c>
      <c r="H119" s="462">
        <f>-'plan sprzedaży i zakupów '!H25</f>
        <v>0</v>
      </c>
      <c r="I119" s="462">
        <f>-'plan sprzedaży i zakupów '!I25</f>
        <v>0</v>
      </c>
      <c r="J119" s="462">
        <f>-'plan sprzedaży i zakupów '!J25</f>
        <v>0</v>
      </c>
      <c r="K119" s="462">
        <f>-'plan sprzedaży i zakupów '!K25</f>
        <v>0</v>
      </c>
      <c r="L119" s="462">
        <f>-'plan sprzedaży i zakupów '!L25</f>
        <v>0</v>
      </c>
      <c r="M119" s="37"/>
      <c r="N119" s="346" t="s">
        <v>355</v>
      </c>
    </row>
    <row r="120" spans="1:14" ht="12" customHeight="1" x14ac:dyDescent="0.25">
      <c r="A120" s="390"/>
      <c r="B120" s="394" t="s">
        <v>311</v>
      </c>
      <c r="C120" s="37"/>
      <c r="D120" s="462">
        <f>'PARAMETRY POZYCZKI'!E13+bilans!C120</f>
        <v>0</v>
      </c>
      <c r="E120" s="462">
        <f>'PARAMETRY POZYCZKI'!F13+bilans!D120</f>
        <v>0</v>
      </c>
      <c r="F120" s="462">
        <f>'PARAMETRY POZYCZKI'!G13+bilans!E120</f>
        <v>0</v>
      </c>
      <c r="G120" s="462">
        <f>'PARAMETRY POZYCZKI'!H13+bilans!F120</f>
        <v>0</v>
      </c>
      <c r="H120" s="462">
        <f>'PARAMETRY POZYCZKI'!I13+bilans!G120</f>
        <v>0</v>
      </c>
      <c r="I120" s="462">
        <f>'PARAMETRY POZYCZKI'!J13+bilans!H120</f>
        <v>0</v>
      </c>
      <c r="J120" s="462">
        <f>'PARAMETRY POZYCZKI'!K13+bilans!I120</f>
        <v>0</v>
      </c>
      <c r="K120" s="462">
        <f>'PARAMETRY POZYCZKI'!L13+bilans!J120</f>
        <v>0</v>
      </c>
      <c r="L120" s="462">
        <f>'PARAMETRY POZYCZKI'!M13+bilans!K120</f>
        <v>0</v>
      </c>
      <c r="M120" s="37"/>
      <c r="N120" s="346" t="s">
        <v>355</v>
      </c>
    </row>
    <row r="121" spans="1:14" ht="12" hidden="1" customHeight="1" x14ac:dyDescent="0.25">
      <c r="A121" s="390"/>
      <c r="B121" s="394"/>
      <c r="C121" s="37"/>
      <c r="D121" s="462"/>
      <c r="E121" s="462"/>
      <c r="F121" s="462"/>
      <c r="G121" s="462"/>
      <c r="H121" s="462"/>
      <c r="I121" s="462"/>
      <c r="J121" s="462"/>
      <c r="K121" s="462"/>
      <c r="L121" s="462"/>
      <c r="M121" s="37"/>
      <c r="N121" s="346" t="s">
        <v>355</v>
      </c>
    </row>
    <row r="122" spans="1:14" ht="12" hidden="1" customHeight="1" x14ac:dyDescent="0.25">
      <c r="A122" s="390"/>
      <c r="B122" s="394"/>
      <c r="C122" s="37"/>
      <c r="D122" s="462"/>
      <c r="E122" s="462"/>
      <c r="F122" s="462"/>
      <c r="G122" s="462"/>
      <c r="H122" s="462"/>
      <c r="I122" s="462"/>
      <c r="J122" s="462"/>
      <c r="K122" s="463"/>
      <c r="L122" s="462"/>
      <c r="M122" s="37"/>
      <c r="N122" s="346" t="s">
        <v>355</v>
      </c>
    </row>
    <row r="123" spans="1:14" ht="12" hidden="1" customHeight="1" x14ac:dyDescent="0.25">
      <c r="A123" s="390"/>
      <c r="B123" s="394"/>
      <c r="C123" s="37"/>
      <c r="D123" s="462"/>
      <c r="E123" s="462"/>
      <c r="F123" s="462"/>
      <c r="G123" s="462"/>
      <c r="H123" s="462"/>
      <c r="I123" s="462"/>
      <c r="J123" s="462"/>
      <c r="K123" s="463"/>
      <c r="L123" s="462"/>
      <c r="M123" s="37"/>
      <c r="N123" s="346" t="s">
        <v>355</v>
      </c>
    </row>
    <row r="124" spans="1:14" ht="12" hidden="1" customHeight="1" x14ac:dyDescent="0.25">
      <c r="A124" s="390"/>
      <c r="B124" s="394"/>
      <c r="C124" s="37"/>
      <c r="D124" s="462"/>
      <c r="E124" s="462"/>
      <c r="F124" s="462"/>
      <c r="G124" s="462"/>
      <c r="H124" s="462"/>
      <c r="I124" s="462"/>
      <c r="J124" s="462"/>
      <c r="K124" s="463"/>
      <c r="L124" s="462"/>
      <c r="M124" s="37"/>
      <c r="N124" s="346" t="s">
        <v>355</v>
      </c>
    </row>
    <row r="125" spans="1:14" ht="12" hidden="1" customHeight="1" x14ac:dyDescent="0.25">
      <c r="A125" s="390"/>
      <c r="B125" s="394"/>
      <c r="C125" s="37"/>
      <c r="D125" s="462"/>
      <c r="E125" s="462"/>
      <c r="F125" s="462"/>
      <c r="G125" s="462"/>
      <c r="H125" s="462"/>
      <c r="I125" s="462"/>
      <c r="J125" s="462"/>
      <c r="K125" s="463"/>
      <c r="L125" s="462"/>
      <c r="M125" s="37"/>
      <c r="N125" s="346" t="s">
        <v>355</v>
      </c>
    </row>
    <row r="126" spans="1:14" ht="12" hidden="1" customHeight="1" x14ac:dyDescent="0.25">
      <c r="A126" s="390"/>
      <c r="B126" s="394"/>
      <c r="C126" s="37"/>
      <c r="D126" s="462"/>
      <c r="E126" s="462"/>
      <c r="F126" s="462"/>
      <c r="G126" s="462"/>
      <c r="H126" s="462"/>
      <c r="I126" s="462"/>
      <c r="J126" s="462"/>
      <c r="K126" s="463"/>
      <c r="L126" s="462"/>
      <c r="M126" s="37"/>
      <c r="N126" s="346" t="s">
        <v>355</v>
      </c>
    </row>
    <row r="127" spans="1:14" ht="12" customHeight="1" x14ac:dyDescent="0.25">
      <c r="A127" s="390"/>
      <c r="B127" s="394" t="s">
        <v>89</v>
      </c>
      <c r="C127" s="37"/>
      <c r="D127" s="462">
        <f>C127</f>
        <v>0</v>
      </c>
      <c r="E127" s="462">
        <f t="shared" ref="E127:L127" si="56">D127</f>
        <v>0</v>
      </c>
      <c r="F127" s="462">
        <f t="shared" si="56"/>
        <v>0</v>
      </c>
      <c r="G127" s="462">
        <f t="shared" si="56"/>
        <v>0</v>
      </c>
      <c r="H127" s="462">
        <f t="shared" si="56"/>
        <v>0</v>
      </c>
      <c r="I127" s="462">
        <f t="shared" si="56"/>
        <v>0</v>
      </c>
      <c r="J127" s="462">
        <f t="shared" si="56"/>
        <v>0</v>
      </c>
      <c r="K127" s="462">
        <f t="shared" si="56"/>
        <v>0</v>
      </c>
      <c r="L127" s="462">
        <f t="shared" si="56"/>
        <v>0</v>
      </c>
      <c r="M127" s="37"/>
      <c r="N127" s="346" t="s">
        <v>355</v>
      </c>
    </row>
    <row r="128" spans="1:14" ht="12" customHeight="1" x14ac:dyDescent="0.25">
      <c r="A128" s="390"/>
      <c r="B128" s="402" t="s">
        <v>348</v>
      </c>
      <c r="C128" s="37"/>
      <c r="D128" s="462">
        <f>C128</f>
        <v>0</v>
      </c>
      <c r="E128" s="462">
        <f t="shared" ref="E128:L128" si="57">D128</f>
        <v>0</v>
      </c>
      <c r="F128" s="462">
        <f t="shared" si="57"/>
        <v>0</v>
      </c>
      <c r="G128" s="462">
        <f t="shared" si="57"/>
        <v>0</v>
      </c>
      <c r="H128" s="462">
        <f t="shared" si="57"/>
        <v>0</v>
      </c>
      <c r="I128" s="462">
        <f t="shared" si="57"/>
        <v>0</v>
      </c>
      <c r="J128" s="462">
        <f t="shared" si="57"/>
        <v>0</v>
      </c>
      <c r="K128" s="462">
        <f t="shared" si="57"/>
        <v>0</v>
      </c>
      <c r="L128" s="462">
        <f t="shared" si="57"/>
        <v>0</v>
      </c>
      <c r="M128" s="37"/>
      <c r="N128" s="346" t="s">
        <v>355</v>
      </c>
    </row>
    <row r="129" spans="1:14" ht="12" customHeight="1" thickBot="1" x14ac:dyDescent="0.3">
      <c r="A129" s="399" t="s">
        <v>23</v>
      </c>
      <c r="B129" s="389" t="s">
        <v>349</v>
      </c>
      <c r="C129" s="96"/>
      <c r="D129" s="461">
        <f>C129</f>
        <v>0</v>
      </c>
      <c r="E129" s="461">
        <f t="shared" ref="E129:L129" si="58">D129</f>
        <v>0</v>
      </c>
      <c r="F129" s="461">
        <f t="shared" si="58"/>
        <v>0</v>
      </c>
      <c r="G129" s="461">
        <f t="shared" si="58"/>
        <v>0</v>
      </c>
      <c r="H129" s="461">
        <f t="shared" si="58"/>
        <v>0</v>
      </c>
      <c r="I129" s="461">
        <f t="shared" si="58"/>
        <v>0</v>
      </c>
      <c r="J129" s="461">
        <f t="shared" si="58"/>
        <v>0</v>
      </c>
      <c r="K129" s="461">
        <f t="shared" si="58"/>
        <v>0</v>
      </c>
      <c r="L129" s="461">
        <f t="shared" si="58"/>
        <v>0</v>
      </c>
      <c r="M129" s="96"/>
      <c r="N129" s="346" t="s">
        <v>355</v>
      </c>
    </row>
    <row r="130" spans="1:14" ht="12" hidden="1" customHeight="1" x14ac:dyDescent="0.25">
      <c r="A130" s="343"/>
      <c r="B130" s="348"/>
      <c r="C130" s="37"/>
      <c r="D130" s="368"/>
      <c r="E130" s="368"/>
      <c r="F130" s="368"/>
      <c r="G130" s="368"/>
      <c r="H130" s="368"/>
      <c r="I130" s="368"/>
      <c r="J130" s="368"/>
      <c r="K130" s="369"/>
      <c r="L130" s="368"/>
      <c r="M130" s="37"/>
    </row>
    <row r="131" spans="1:14" ht="12" hidden="1" customHeight="1" x14ac:dyDescent="0.25">
      <c r="A131" s="343"/>
      <c r="B131" s="348"/>
      <c r="C131" s="37"/>
      <c r="D131" s="368"/>
      <c r="E131" s="368"/>
      <c r="F131" s="368"/>
      <c r="G131" s="368"/>
      <c r="H131" s="368"/>
      <c r="I131" s="368"/>
      <c r="J131" s="368"/>
      <c r="K131" s="369"/>
      <c r="L131" s="368"/>
      <c r="M131" s="37"/>
    </row>
    <row r="132" spans="1:14" ht="12" hidden="1" customHeight="1" x14ac:dyDescent="0.25">
      <c r="A132" s="343"/>
      <c r="B132" s="348"/>
      <c r="C132" s="37"/>
      <c r="D132" s="368"/>
      <c r="E132" s="368"/>
      <c r="F132" s="368"/>
      <c r="G132" s="368"/>
      <c r="H132" s="368"/>
      <c r="I132" s="368"/>
      <c r="J132" s="368"/>
      <c r="K132" s="369"/>
      <c r="L132" s="368"/>
      <c r="M132" s="37"/>
    </row>
    <row r="133" spans="1:14" ht="12" hidden="1" customHeight="1" thickBot="1" x14ac:dyDescent="0.3">
      <c r="A133" s="352"/>
      <c r="B133" s="353"/>
      <c r="C133" s="354"/>
      <c r="D133" s="459"/>
      <c r="E133" s="459"/>
      <c r="F133" s="459"/>
      <c r="G133" s="459"/>
      <c r="H133" s="459"/>
      <c r="I133" s="459"/>
      <c r="J133" s="459"/>
      <c r="K133" s="460"/>
      <c r="L133" s="459"/>
      <c r="M133" s="354"/>
    </row>
    <row r="134" spans="1:14" ht="12" customHeight="1" x14ac:dyDescent="0.25">
      <c r="A134" s="371"/>
      <c r="B134" s="372" t="str">
        <f>[1]Arkusz1!B137</f>
        <v>SUMA PASYWÓW</v>
      </c>
      <c r="C134" s="373">
        <f>C83+C93</f>
        <v>0</v>
      </c>
      <c r="D134" s="373">
        <f t="shared" ref="D134:L134" si="59">D83+D93</f>
        <v>0</v>
      </c>
      <c r="E134" s="373">
        <f t="shared" si="59"/>
        <v>0</v>
      </c>
      <c r="F134" s="373">
        <f t="shared" si="59"/>
        <v>0</v>
      </c>
      <c r="G134" s="373">
        <f t="shared" si="59"/>
        <v>0</v>
      </c>
      <c r="H134" s="373">
        <f t="shared" si="59"/>
        <v>0</v>
      </c>
      <c r="I134" s="373">
        <f t="shared" si="59"/>
        <v>0</v>
      </c>
      <c r="J134" s="373">
        <f t="shared" si="59"/>
        <v>0</v>
      </c>
      <c r="K134" s="373">
        <f t="shared" si="59"/>
        <v>0</v>
      </c>
      <c r="L134" s="373">
        <f t="shared" si="59"/>
        <v>0</v>
      </c>
      <c r="M134" s="373">
        <f>M83+M93</f>
        <v>0</v>
      </c>
    </row>
    <row r="135" spans="1:14" ht="12" customHeight="1" x14ac:dyDescent="0.25">
      <c r="A135" s="355"/>
      <c r="B135" s="356"/>
      <c r="C135" s="357">
        <f>C80-C134</f>
        <v>0</v>
      </c>
      <c r="D135" s="357">
        <f t="shared" ref="D135:L135" si="60">D80-D134</f>
        <v>0</v>
      </c>
      <c r="E135" s="357">
        <f t="shared" si="60"/>
        <v>0</v>
      </c>
      <c r="F135" s="357">
        <f t="shared" si="60"/>
        <v>0</v>
      </c>
      <c r="G135" s="357">
        <f t="shared" si="60"/>
        <v>0</v>
      </c>
      <c r="H135" s="357">
        <f t="shared" si="60"/>
        <v>0</v>
      </c>
      <c r="I135" s="357">
        <f t="shared" si="60"/>
        <v>0</v>
      </c>
      <c r="J135" s="357">
        <f t="shared" si="60"/>
        <v>0</v>
      </c>
      <c r="K135" s="357">
        <f t="shared" si="60"/>
        <v>0</v>
      </c>
      <c r="L135" s="357">
        <f t="shared" si="60"/>
        <v>0</v>
      </c>
    </row>
    <row r="136" spans="1:14" ht="12" customHeight="1" x14ac:dyDescent="0.25">
      <c r="A136" s="358"/>
      <c r="B136" s="487"/>
      <c r="C136" s="488"/>
      <c r="D136" s="488"/>
      <c r="E136" s="491"/>
      <c r="F136" s="491"/>
      <c r="G136" s="491"/>
      <c r="H136" s="491"/>
      <c r="I136" s="491"/>
      <c r="J136" s="491"/>
      <c r="K136" s="491"/>
      <c r="L136" s="491"/>
      <c r="M136" s="41"/>
    </row>
    <row r="137" spans="1:14" ht="12" customHeight="1" x14ac:dyDescent="0.25">
      <c r="A137" s="358"/>
      <c r="B137" s="489"/>
      <c r="C137" s="490"/>
      <c r="D137" s="490"/>
      <c r="E137" s="9"/>
      <c r="F137" s="9"/>
      <c r="G137" s="9"/>
      <c r="H137" s="9"/>
      <c r="I137" s="9"/>
      <c r="J137" s="9"/>
      <c r="K137" s="9"/>
      <c r="L137" s="9"/>
      <c r="M137" s="41"/>
    </row>
    <row r="138" spans="1:14" ht="12" customHeight="1" x14ac:dyDescent="0.25">
      <c r="A138" s="358"/>
      <c r="B138" s="358"/>
      <c r="C138" s="360"/>
      <c r="D138" s="360"/>
      <c r="E138" s="360"/>
      <c r="F138" s="360"/>
      <c r="G138" s="360"/>
      <c r="H138" s="360"/>
      <c r="I138" s="360"/>
      <c r="J138" s="360"/>
      <c r="K138" s="360"/>
      <c r="L138" s="360"/>
    </row>
    <row r="139" spans="1:14" ht="12" customHeight="1" x14ac:dyDescent="0.25">
      <c r="A139" s="358"/>
      <c r="B139" s="358"/>
      <c r="C139" s="359"/>
      <c r="D139" s="358"/>
      <c r="E139" s="358"/>
      <c r="F139" s="358"/>
      <c r="G139" s="358"/>
      <c r="H139" s="358"/>
      <c r="I139" s="358"/>
      <c r="J139" s="358"/>
      <c r="K139" s="358"/>
      <c r="L139" s="358"/>
    </row>
    <row r="140" spans="1:14" ht="12" customHeight="1" x14ac:dyDescent="0.25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</row>
    <row r="141" spans="1:14" ht="12" customHeight="1" x14ac:dyDescent="0.25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</row>
    <row r="142" spans="1:14" x14ac:dyDescent="0.25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</row>
    <row r="143" spans="1:14" x14ac:dyDescent="0.25">
      <c r="A143" s="358"/>
      <c r="B143" s="358"/>
      <c r="C143" s="361"/>
      <c r="D143" s="362"/>
      <c r="E143" s="362"/>
      <c r="F143" s="362"/>
      <c r="G143" s="362"/>
      <c r="H143" s="362"/>
      <c r="I143" s="362"/>
      <c r="J143" s="362"/>
      <c r="K143" s="362"/>
      <c r="L143" s="362"/>
    </row>
  </sheetData>
  <sheetProtection sheet="1" objects="1" scenarios="1"/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1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3"/>
  <sheetViews>
    <sheetView showGridLines="0" zoomScale="82" zoomScaleNormal="82" zoomScaleSheetLayoutView="95" workbookViewId="0">
      <selection activeCell="M24" sqref="M24"/>
    </sheetView>
  </sheetViews>
  <sheetFormatPr defaultColWidth="9.140625" defaultRowHeight="15" x14ac:dyDescent="0.25"/>
  <cols>
    <col min="1" max="1" width="58.5703125" style="41" customWidth="1"/>
    <col min="2" max="2" width="11.42578125" style="41" customWidth="1"/>
    <col min="3" max="3" width="14.5703125" style="41" customWidth="1"/>
    <col min="4" max="4" width="10.140625" style="41" bestFit="1" customWidth="1"/>
    <col min="5" max="8" width="9.140625" style="41"/>
    <col min="9" max="9" width="9.7109375" style="41" customWidth="1"/>
    <col min="10" max="12" width="9.140625" style="41"/>
    <col min="13" max="13" width="40.28515625" style="41" customWidth="1"/>
    <col min="14" max="15" width="9.140625" style="41"/>
    <col min="16" max="16" width="113.7109375" style="41" customWidth="1"/>
    <col min="17" max="17" width="9.140625" style="41"/>
    <col min="18" max="29" width="0" style="41" hidden="1" customWidth="1"/>
    <col min="30" max="40" width="9.140625" style="41" hidden="1" customWidth="1"/>
    <col min="41" max="16384" width="9.140625" style="41"/>
  </cols>
  <sheetData>
    <row r="1" spans="1:39" ht="20.25" customHeight="1" thickBot="1" x14ac:dyDescent="0.4">
      <c r="H1" s="700"/>
      <c r="I1" s="700"/>
      <c r="J1" s="700"/>
      <c r="K1" s="700"/>
      <c r="L1" s="700"/>
      <c r="M1" s="500"/>
      <c r="N1" s="500"/>
      <c r="O1" s="9"/>
      <c r="P1" s="68" t="s">
        <v>97</v>
      </c>
      <c r="AE1" s="695" t="s">
        <v>320</v>
      </c>
      <c r="AF1" s="695"/>
      <c r="AG1" s="695"/>
      <c r="AH1" s="695"/>
      <c r="AI1" s="695"/>
      <c r="AJ1" s="695"/>
      <c r="AK1" s="695"/>
      <c r="AL1" s="695"/>
      <c r="AM1" s="695"/>
    </row>
    <row r="2" spans="1:39" ht="47.25" thickBot="1" x14ac:dyDescent="0.4">
      <c r="A2" s="231" t="s">
        <v>387</v>
      </c>
      <c r="B2" s="232" t="s">
        <v>281</v>
      </c>
      <c r="C2" s="233" t="s">
        <v>282</v>
      </c>
      <c r="H2" s="700"/>
      <c r="I2" s="700"/>
      <c r="J2" s="700"/>
      <c r="K2" s="700"/>
      <c r="L2" s="700"/>
      <c r="N2" s="69"/>
      <c r="O2" s="70" t="s">
        <v>98</v>
      </c>
      <c r="P2" s="71" t="s">
        <v>99</v>
      </c>
      <c r="AE2" s="234" t="s">
        <v>17</v>
      </c>
      <c r="AF2" s="234" t="s">
        <v>18</v>
      </c>
      <c r="AG2" s="234" t="s">
        <v>14</v>
      </c>
      <c r="AH2" s="234" t="s">
        <v>15</v>
      </c>
      <c r="AI2" s="234" t="s">
        <v>16</v>
      </c>
      <c r="AJ2" s="234" t="s">
        <v>93</v>
      </c>
      <c r="AK2" s="234" t="s">
        <v>94</v>
      </c>
      <c r="AL2" s="234" t="s">
        <v>95</v>
      </c>
      <c r="AM2" s="234" t="s">
        <v>96</v>
      </c>
    </row>
    <row r="3" spans="1:39" ht="15.75" thickBot="1" x14ac:dyDescent="0.3">
      <c r="A3" s="640" t="s">
        <v>291</v>
      </c>
      <c r="B3" s="641" t="s">
        <v>280</v>
      </c>
      <c r="C3" s="642">
        <f>C5+C4</f>
        <v>0</v>
      </c>
      <c r="F3" s="229"/>
      <c r="N3" s="72"/>
      <c r="O3" s="73"/>
      <c r="P3" s="74"/>
      <c r="AE3" s="98">
        <f>AE4+AE5</f>
        <v>0</v>
      </c>
      <c r="AF3" s="98">
        <f t="shared" ref="AF3:AM3" si="0">AF4+AF5</f>
        <v>0</v>
      </c>
      <c r="AG3" s="98">
        <f t="shared" si="0"/>
        <v>0</v>
      </c>
      <c r="AH3" s="98">
        <f t="shared" si="0"/>
        <v>0</v>
      </c>
      <c r="AI3" s="98">
        <f t="shared" si="0"/>
        <v>0</v>
      </c>
      <c r="AJ3" s="98">
        <f t="shared" si="0"/>
        <v>0</v>
      </c>
      <c r="AK3" s="98">
        <f t="shared" si="0"/>
        <v>0</v>
      </c>
      <c r="AL3" s="98">
        <f t="shared" si="0"/>
        <v>0</v>
      </c>
      <c r="AM3" s="98">
        <f t="shared" si="0"/>
        <v>0</v>
      </c>
    </row>
    <row r="4" spans="1:39" ht="15.75" thickBot="1" x14ac:dyDescent="0.3">
      <c r="A4" s="227"/>
      <c r="B4" s="92"/>
      <c r="C4" s="111"/>
      <c r="D4" s="291" t="s">
        <v>398</v>
      </c>
      <c r="N4" s="75"/>
      <c r="O4" s="88">
        <v>11</v>
      </c>
      <c r="P4" s="89" t="s">
        <v>100</v>
      </c>
      <c r="AE4" s="99">
        <f>B4*C4</f>
        <v>0</v>
      </c>
      <c r="AF4" s="99">
        <f>IF($AE4*2&lt;=C4,$AE4,0)</f>
        <v>0</v>
      </c>
      <c r="AG4" s="99">
        <f>IF($AE4*3&lt;=$C4,$AE4,0)</f>
        <v>0</v>
      </c>
      <c r="AH4" s="99">
        <f>IF($AE4*4&lt;=$C4,$AE4,0)</f>
        <v>0</v>
      </c>
      <c r="AI4" s="99">
        <f>IF($AE4*5&lt;=$C4,$AE4,0)</f>
        <v>0</v>
      </c>
      <c r="AJ4" s="99">
        <f>IF($AE4*6&lt;=$C4,$AE4,0)</f>
        <v>0</v>
      </c>
      <c r="AK4" s="99">
        <f>IF($AE4*7&lt;=$C4,$AE4,0)</f>
        <v>0</v>
      </c>
      <c r="AL4" s="99">
        <f>IF($AE4*8&lt;=$C4,$AE4,0)</f>
        <v>0</v>
      </c>
      <c r="AM4" s="99">
        <f>IF($AE4*9&lt;=$C4,$AE4,0)</f>
        <v>0</v>
      </c>
    </row>
    <row r="5" spans="1:39" ht="15.75" thickBot="1" x14ac:dyDescent="0.3">
      <c r="A5" s="227"/>
      <c r="B5" s="90"/>
      <c r="C5" s="111"/>
      <c r="D5" s="291" t="s">
        <v>398</v>
      </c>
      <c r="N5" s="78"/>
      <c r="O5" s="86">
        <v>122</v>
      </c>
      <c r="P5" s="87" t="s">
        <v>101</v>
      </c>
      <c r="AE5" s="99">
        <f>B5*C5</f>
        <v>0</v>
      </c>
      <c r="AF5" s="99">
        <f>IF($AE5*2&lt;=C5,$AE5,0)</f>
        <v>0</v>
      </c>
      <c r="AG5" s="99">
        <f>IF($AE5*3&lt;=$C5,$AE5,0)</f>
        <v>0</v>
      </c>
      <c r="AH5" s="99">
        <f>IF($AE5*4&lt;=$C5,$AE5,0)</f>
        <v>0</v>
      </c>
      <c r="AI5" s="99">
        <f>IF($AE5*5&lt;=$C5,$AE5,0)</f>
        <v>0</v>
      </c>
      <c r="AJ5" s="99">
        <f>IF($AE5*6&lt;=$C5,$AE5,0)</f>
        <v>0</v>
      </c>
      <c r="AK5" s="99">
        <f>IF($AE5*7&lt;=$C5,$AE5,0)</f>
        <v>0</v>
      </c>
      <c r="AL5" s="99">
        <f>IF($AE5*8&lt;=$C5,$AE5,0)</f>
        <v>0</v>
      </c>
      <c r="AM5" s="99">
        <f>IF($AE5*9&lt;=$C5,$AE5,0)</f>
        <v>0</v>
      </c>
    </row>
    <row r="6" spans="1:39" ht="15.75" thickBot="1" x14ac:dyDescent="0.3">
      <c r="A6" s="640" t="s">
        <v>5</v>
      </c>
      <c r="B6" s="641" t="s">
        <v>280</v>
      </c>
      <c r="C6" s="642">
        <f>SUM(C7:C8)</f>
        <v>0</v>
      </c>
      <c r="D6" s="291"/>
      <c r="N6" s="85">
        <v>1</v>
      </c>
      <c r="O6" s="86">
        <v>10</v>
      </c>
      <c r="P6" s="87" t="s">
        <v>102</v>
      </c>
      <c r="AE6" s="100"/>
      <c r="AF6" s="101"/>
      <c r="AG6" s="101"/>
      <c r="AH6" s="101"/>
      <c r="AI6" s="101"/>
      <c r="AJ6" s="101"/>
      <c r="AK6" s="101"/>
      <c r="AL6" s="101"/>
      <c r="AM6" s="102"/>
    </row>
    <row r="7" spans="1:39" ht="15.75" thickBot="1" x14ac:dyDescent="0.3">
      <c r="A7" s="235" t="s">
        <v>6</v>
      </c>
      <c r="B7" s="643">
        <v>0</v>
      </c>
      <c r="C7" s="111"/>
      <c r="D7" s="291" t="s">
        <v>357</v>
      </c>
      <c r="N7" s="78">
        <v>1</v>
      </c>
      <c r="O7" s="79">
        <v>110</v>
      </c>
      <c r="P7" s="80" t="s">
        <v>103</v>
      </c>
      <c r="AE7" s="103"/>
      <c r="AF7" s="104"/>
      <c r="AG7" s="104"/>
      <c r="AH7" s="104"/>
      <c r="AI7" s="104"/>
      <c r="AJ7" s="104"/>
      <c r="AK7" s="104"/>
      <c r="AL7" s="104"/>
      <c r="AM7" s="105"/>
    </row>
    <row r="8" spans="1:39" ht="15.75" thickBot="1" x14ac:dyDescent="0.3">
      <c r="A8" s="235" t="s">
        <v>7</v>
      </c>
      <c r="B8" s="643">
        <v>0</v>
      </c>
      <c r="C8" s="111"/>
      <c r="D8" s="291" t="s">
        <v>357</v>
      </c>
      <c r="N8" s="85">
        <v>1</v>
      </c>
      <c r="O8" s="86">
        <v>121</v>
      </c>
      <c r="P8" s="87" t="s">
        <v>104</v>
      </c>
      <c r="AE8" s="106"/>
      <c r="AF8" s="107"/>
      <c r="AG8" s="107"/>
      <c r="AH8" s="107"/>
      <c r="AI8" s="107"/>
      <c r="AJ8" s="107"/>
      <c r="AK8" s="107"/>
      <c r="AL8" s="107"/>
      <c r="AM8" s="108"/>
    </row>
    <row r="9" spans="1:39" ht="15.75" thickBot="1" x14ac:dyDescent="0.3">
      <c r="A9" s="640" t="s">
        <v>8</v>
      </c>
      <c r="B9" s="641" t="s">
        <v>280</v>
      </c>
      <c r="C9" s="642">
        <f>SUM(C10:C11)</f>
        <v>0</v>
      </c>
      <c r="D9" s="291"/>
      <c r="N9" s="78">
        <v>1</v>
      </c>
      <c r="O9" s="79">
        <v>102</v>
      </c>
      <c r="P9" s="80" t="s">
        <v>105</v>
      </c>
      <c r="AE9" s="109">
        <f>AE10+AE11</f>
        <v>0</v>
      </c>
      <c r="AF9" s="109">
        <f t="shared" ref="AF9" si="1">AF10+AF11</f>
        <v>0</v>
      </c>
      <c r="AG9" s="109">
        <f t="shared" ref="AG9" si="2">AG10+AG11</f>
        <v>0</v>
      </c>
      <c r="AH9" s="109">
        <f t="shared" ref="AH9" si="3">AH10+AH11</f>
        <v>0</v>
      </c>
      <c r="AI9" s="109">
        <f t="shared" ref="AI9" si="4">AI10+AI11</f>
        <v>0</v>
      </c>
      <c r="AJ9" s="109">
        <f t="shared" ref="AJ9" si="5">AJ10+AJ11</f>
        <v>0</v>
      </c>
      <c r="AK9" s="109">
        <f t="shared" ref="AK9" si="6">AK10+AK11</f>
        <v>0</v>
      </c>
      <c r="AL9" s="109">
        <f t="shared" ref="AL9" si="7">AL10+AL11</f>
        <v>0</v>
      </c>
      <c r="AM9" s="109">
        <f t="shared" ref="AM9" si="8">AM10+AM11</f>
        <v>0</v>
      </c>
    </row>
    <row r="10" spans="1:39" ht="15.75" thickBot="1" x14ac:dyDescent="0.3">
      <c r="A10" s="227"/>
      <c r="B10" s="90"/>
      <c r="C10" s="111"/>
      <c r="D10" s="291" t="s">
        <v>398</v>
      </c>
      <c r="N10" s="78">
        <v>1</v>
      </c>
      <c r="O10" s="79">
        <v>102</v>
      </c>
      <c r="P10" s="80" t="s">
        <v>106</v>
      </c>
      <c r="AE10" s="99">
        <f>B10*C10</f>
        <v>0</v>
      </c>
      <c r="AF10" s="99">
        <f>IF($AE10*2&lt;=C10,$AE10,0)</f>
        <v>0</v>
      </c>
      <c r="AG10" s="99">
        <f>IF($AE10*3&lt;=$C10,$AE10,0)</f>
        <v>0</v>
      </c>
      <c r="AH10" s="99">
        <f>IF($AE10*4&lt;=$C10,$AE10,0)</f>
        <v>0</v>
      </c>
      <c r="AI10" s="99">
        <f>IF($AE10*5&lt;=$C10,$AE10,0)</f>
        <v>0</v>
      </c>
      <c r="AJ10" s="99">
        <f>IF($AE10*6&lt;=$C10,$AE10,0)</f>
        <v>0</v>
      </c>
      <c r="AK10" s="99">
        <f>IF($AE10*7&lt;=$C10,$AE10,0)</f>
        <v>0</v>
      </c>
      <c r="AL10" s="99">
        <f>IF($AE10*8&lt;=$C10,$AE10,0)</f>
        <v>0</v>
      </c>
      <c r="AM10" s="99">
        <f>IF($AE10*9&lt;=$C10,$AE10,0)</f>
        <v>0</v>
      </c>
    </row>
    <row r="11" spans="1:39" ht="15.75" thickBot="1" x14ac:dyDescent="0.3">
      <c r="A11" s="227"/>
      <c r="B11" s="90"/>
      <c r="C11" s="111"/>
      <c r="D11" s="291" t="s">
        <v>398</v>
      </c>
      <c r="N11" s="78">
        <v>1</v>
      </c>
      <c r="O11" s="79">
        <v>104</v>
      </c>
      <c r="P11" s="80" t="s">
        <v>107</v>
      </c>
      <c r="AE11" s="99">
        <f>B11*C11</f>
        <v>0</v>
      </c>
      <c r="AF11" s="99">
        <f>IF($AE11*2&lt;=C11,$AE11,0)</f>
        <v>0</v>
      </c>
      <c r="AG11" s="99">
        <f>IF($AE11*3&lt;=$C11,$AE11,0)</f>
        <v>0</v>
      </c>
      <c r="AH11" s="99">
        <f>IF($AE11*4&lt;=$C11,$AE11,0)</f>
        <v>0</v>
      </c>
      <c r="AI11" s="99">
        <f>IF($AE11*5&lt;=$C11,$AE11,0)</f>
        <v>0</v>
      </c>
      <c r="AJ11" s="99">
        <f>IF($AE11*6&lt;=$C11,$AE11,0)</f>
        <v>0</v>
      </c>
      <c r="AK11" s="99">
        <f>IF($AE11*7&lt;=$C11,$AE11,0)</f>
        <v>0</v>
      </c>
      <c r="AL11" s="99">
        <f>IF($AE11*8&lt;=$C11,$AE11,0)</f>
        <v>0</v>
      </c>
      <c r="AM11" s="99">
        <f>IF($AE11*9&lt;=$C11,$AE11,0)</f>
        <v>0</v>
      </c>
    </row>
    <row r="12" spans="1:39" ht="15.75" thickBot="1" x14ac:dyDescent="0.3">
      <c r="A12" s="640" t="s">
        <v>9</v>
      </c>
      <c r="B12" s="641" t="s">
        <v>280</v>
      </c>
      <c r="C12" s="642">
        <f>SUM(C13:C15)</f>
        <v>0</v>
      </c>
      <c r="D12" s="291"/>
      <c r="N12" s="78">
        <v>1</v>
      </c>
      <c r="O12" s="79">
        <v>104</v>
      </c>
      <c r="P12" s="80" t="s">
        <v>108</v>
      </c>
      <c r="AE12" s="109">
        <f>AE15+AE14+AE13</f>
        <v>0</v>
      </c>
      <c r="AF12" s="109">
        <f t="shared" ref="AF12:AM12" si="9">AF15+AF14+AF13</f>
        <v>0</v>
      </c>
      <c r="AG12" s="109">
        <f t="shared" si="9"/>
        <v>0</v>
      </c>
      <c r="AH12" s="109">
        <f t="shared" si="9"/>
        <v>0</v>
      </c>
      <c r="AI12" s="109">
        <f t="shared" si="9"/>
        <v>0</v>
      </c>
      <c r="AJ12" s="109">
        <f t="shared" si="9"/>
        <v>0</v>
      </c>
      <c r="AK12" s="109">
        <f t="shared" si="9"/>
        <v>0</v>
      </c>
      <c r="AL12" s="109">
        <f t="shared" si="9"/>
        <v>0</v>
      </c>
      <c r="AM12" s="109">
        <f t="shared" si="9"/>
        <v>0</v>
      </c>
    </row>
    <row r="13" spans="1:39" ht="15.75" thickBot="1" x14ac:dyDescent="0.3">
      <c r="A13" s="227"/>
      <c r="B13" s="90"/>
      <c r="C13" s="111"/>
      <c r="D13" s="291" t="s">
        <v>398</v>
      </c>
      <c r="N13" s="78">
        <v>1</v>
      </c>
      <c r="O13" s="79">
        <v>10</v>
      </c>
      <c r="P13" s="80" t="s">
        <v>109</v>
      </c>
      <c r="AE13" s="99">
        <f>B13*C13</f>
        <v>0</v>
      </c>
      <c r="AF13" s="99">
        <f>IF($AE13*2&lt;=C13,$AE13,0)</f>
        <v>0</v>
      </c>
      <c r="AG13" s="99">
        <f>IF($AE13*3&lt;=$C13,$AE13,0)</f>
        <v>0</v>
      </c>
      <c r="AH13" s="99">
        <f>IF($AE13*4&lt;=$C13,$AE13,0)</f>
        <v>0</v>
      </c>
      <c r="AI13" s="99">
        <f>IF($AE13*5&lt;=$C13,$AE13,0)</f>
        <v>0</v>
      </c>
      <c r="AJ13" s="99">
        <f>IF($AE13*6&lt;=$C13,$AE13,0)</f>
        <v>0</v>
      </c>
      <c r="AK13" s="99">
        <f>IF($AE13*7&lt;=$C13,$AE13,0)</f>
        <v>0</v>
      </c>
      <c r="AL13" s="99">
        <f>IF($AE13*8&lt;=$C13,$AE13,0)</f>
        <v>0</v>
      </c>
      <c r="AM13" s="99">
        <f>IF($AE13*9&lt;=$C13,$AE13,0)</f>
        <v>0</v>
      </c>
    </row>
    <row r="14" spans="1:39" ht="15.75" thickBot="1" x14ac:dyDescent="0.3">
      <c r="A14" s="227"/>
      <c r="B14" s="90"/>
      <c r="C14" s="111"/>
      <c r="D14" s="291" t="s">
        <v>398</v>
      </c>
      <c r="N14" s="78">
        <v>1</v>
      </c>
      <c r="O14" s="79">
        <v>103</v>
      </c>
      <c r="P14" s="80" t="s">
        <v>110</v>
      </c>
      <c r="AE14" s="99">
        <f>B14*C14</f>
        <v>0</v>
      </c>
      <c r="AF14" s="99">
        <f>IF($AE14*2&lt;=C14,$AE14,0)</f>
        <v>0</v>
      </c>
      <c r="AG14" s="99">
        <f>IF($AE14*3&lt;=$C14,$AE14,0)</f>
        <v>0</v>
      </c>
      <c r="AH14" s="99">
        <f>IF($AE14*4&lt;=$C14,$AE14,0)</f>
        <v>0</v>
      </c>
      <c r="AI14" s="99">
        <f>IF($AE14*5&lt;=$C14,$AE14,0)</f>
        <v>0</v>
      </c>
      <c r="AJ14" s="99">
        <f>IF($AE14*6&lt;=$C14,$AE14,0)</f>
        <v>0</v>
      </c>
      <c r="AK14" s="99">
        <f>IF($AE14*7&lt;=$C14,$AE14,0)</f>
        <v>0</v>
      </c>
      <c r="AL14" s="99">
        <f>IF($AE14*8&lt;=$C14,$AE14,0)</f>
        <v>0</v>
      </c>
      <c r="AM14" s="99">
        <f>IF($AE14*9&lt;=$C14,$AE14,0)</f>
        <v>0</v>
      </c>
    </row>
    <row r="15" spans="1:39" ht="15.75" thickBot="1" x14ac:dyDescent="0.3">
      <c r="A15" s="227"/>
      <c r="B15" s="90"/>
      <c r="C15" s="113"/>
      <c r="D15" s="291" t="s">
        <v>398</v>
      </c>
      <c r="N15" s="78">
        <v>1</v>
      </c>
      <c r="O15" s="79">
        <v>109</v>
      </c>
      <c r="P15" s="80" t="s">
        <v>111</v>
      </c>
      <c r="AE15" s="99">
        <f>B15*C15</f>
        <v>0</v>
      </c>
      <c r="AF15" s="99">
        <f>IF($AE15*2&lt;=C15,$AE15,0)</f>
        <v>0</v>
      </c>
      <c r="AG15" s="99">
        <f>IF($AE15*3&lt;=$C15,$AE15,0)</f>
        <v>0</v>
      </c>
      <c r="AH15" s="99">
        <f>IF($AE15*4&lt;=$C15,$AE15,0)</f>
        <v>0</v>
      </c>
      <c r="AI15" s="99">
        <f>IF($AE15*5&lt;=$C15,$AE15,0)</f>
        <v>0</v>
      </c>
      <c r="AJ15" s="99">
        <f>IF($AE15*6&lt;=$C15,$AE15,0)</f>
        <v>0</v>
      </c>
      <c r="AK15" s="99">
        <f>IF($AE15*7&lt;=$C15,$AE15,0)</f>
        <v>0</v>
      </c>
      <c r="AL15" s="99">
        <f>IF($AE15*8&lt;=$C15,$AE15,0)</f>
        <v>0</v>
      </c>
      <c r="AM15" s="99">
        <f>IF($AE15*9&lt;=$C15,$AE15,0)</f>
        <v>0</v>
      </c>
    </row>
    <row r="16" spans="1:39" ht="15.75" thickBot="1" x14ac:dyDescent="0.3">
      <c r="A16" s="640" t="s">
        <v>386</v>
      </c>
      <c r="B16" s="641" t="s">
        <v>280</v>
      </c>
      <c r="C16" s="642">
        <f>SUM(C17:C18)</f>
        <v>0</v>
      </c>
      <c r="D16" s="291"/>
      <c r="N16" s="85">
        <v>2</v>
      </c>
      <c r="O16" s="79">
        <v>21</v>
      </c>
      <c r="P16" s="80" t="s">
        <v>112</v>
      </c>
      <c r="AE16" s="109">
        <f>AE17+AE18</f>
        <v>0</v>
      </c>
      <c r="AF16" s="109">
        <f t="shared" ref="AF16" si="10">AF17+AF18</f>
        <v>0</v>
      </c>
      <c r="AG16" s="109">
        <f t="shared" ref="AG16" si="11">AG17+AG18</f>
        <v>0</v>
      </c>
      <c r="AH16" s="109">
        <f t="shared" ref="AH16" si="12">AH17+AH18</f>
        <v>0</v>
      </c>
      <c r="AI16" s="109">
        <f t="shared" ref="AI16" si="13">AI17+AI18</f>
        <v>0</v>
      </c>
      <c r="AJ16" s="109">
        <f t="shared" ref="AJ16" si="14">AJ17+AJ18</f>
        <v>0</v>
      </c>
      <c r="AK16" s="109">
        <f t="shared" ref="AK16" si="15">AK17+AK18</f>
        <v>0</v>
      </c>
      <c r="AL16" s="109">
        <f t="shared" ref="AL16" si="16">AL17+AL18</f>
        <v>0</v>
      </c>
      <c r="AM16" s="109">
        <f t="shared" ref="AM16" si="17">AM17+AM18</f>
        <v>0</v>
      </c>
    </row>
    <row r="17" spans="1:39" ht="15.75" thickBot="1" x14ac:dyDescent="0.3">
      <c r="A17" s="227"/>
      <c r="B17" s="91"/>
      <c r="C17" s="93"/>
      <c r="D17" s="291" t="s">
        <v>398</v>
      </c>
      <c r="N17" s="78">
        <v>2</v>
      </c>
      <c r="O17" s="79">
        <v>224</v>
      </c>
      <c r="P17" s="80" t="s">
        <v>113</v>
      </c>
      <c r="AE17" s="99">
        <f>B17*C17</f>
        <v>0</v>
      </c>
      <c r="AF17" s="99">
        <f>IF($AE17*2&lt;=C17,$AE17,0)</f>
        <v>0</v>
      </c>
      <c r="AG17" s="99">
        <f>IF($AE17*3&lt;=$C17,$AE17,0)</f>
        <v>0</v>
      </c>
      <c r="AH17" s="99">
        <f>IF($AE17*4&lt;=$C17,$AE17,0)</f>
        <v>0</v>
      </c>
      <c r="AI17" s="99">
        <f>IF($AE17*5&lt;=$C17,$AE17,0)</f>
        <v>0</v>
      </c>
      <c r="AJ17" s="99">
        <f>IF($AE17*6&lt;=$C17,$AE17,0)</f>
        <v>0</v>
      </c>
      <c r="AK17" s="99">
        <f>IF($AE17*7&lt;=$C17,$AE17,0)</f>
        <v>0</v>
      </c>
      <c r="AL17" s="99">
        <f>IF($AE17*8&lt;=$C17,$AE17,0)</f>
        <v>0</v>
      </c>
      <c r="AM17" s="99">
        <f>IF($AE17*9&lt;=$C17,$AE17,0)</f>
        <v>0</v>
      </c>
    </row>
    <row r="18" spans="1:39" ht="15.75" thickBot="1" x14ac:dyDescent="0.3">
      <c r="A18" s="227"/>
      <c r="B18" s="90"/>
      <c r="C18" s="111"/>
      <c r="D18" s="291" t="s">
        <v>398</v>
      </c>
      <c r="N18" s="78">
        <v>2</v>
      </c>
      <c r="O18" s="79">
        <v>225</v>
      </c>
      <c r="P18" s="80" t="s">
        <v>114</v>
      </c>
      <c r="AE18" s="99">
        <f>B18*C18</f>
        <v>0</v>
      </c>
      <c r="AF18" s="99">
        <f>IF($AE18*2&lt;=C18,$AE18,0)</f>
        <v>0</v>
      </c>
      <c r="AG18" s="99">
        <f>IF($AE18*3&lt;=$C18,$AE18,0)</f>
        <v>0</v>
      </c>
      <c r="AH18" s="99">
        <f>IF($AE18*4&lt;=$C18,$AE18,0)</f>
        <v>0</v>
      </c>
      <c r="AI18" s="99">
        <f>IF($AE18*5&lt;=$C18,$AE18,0)</f>
        <v>0</v>
      </c>
      <c r="AJ18" s="99">
        <f>IF($AE18*6&lt;=$C18,$AE18,0)</f>
        <v>0</v>
      </c>
      <c r="AK18" s="99">
        <f>IF($AE18*7&lt;=$C18,$AE18,0)</f>
        <v>0</v>
      </c>
      <c r="AL18" s="99">
        <f>IF($AE18*8&lt;=$C18,$AE18,0)</f>
        <v>0</v>
      </c>
      <c r="AM18" s="99">
        <f>IF($AE18*9&lt;=$C18,$AE18,0)</f>
        <v>0</v>
      </c>
    </row>
    <row r="19" spans="1:39" ht="15.75" thickBot="1" x14ac:dyDescent="0.3">
      <c r="A19" s="640" t="s">
        <v>388</v>
      </c>
      <c r="B19" s="641" t="s">
        <v>280</v>
      </c>
      <c r="C19" s="642">
        <f>SUM(C20:C20)</f>
        <v>0</v>
      </c>
      <c r="D19" s="291"/>
      <c r="N19" s="78">
        <v>2</v>
      </c>
      <c r="O19" s="79">
        <v>226</v>
      </c>
      <c r="P19" s="80" t="s">
        <v>115</v>
      </c>
      <c r="AE19" s="109">
        <f>AE20</f>
        <v>0</v>
      </c>
      <c r="AF19" s="109">
        <f t="shared" ref="AF19:AM19" si="18">AF20</f>
        <v>0</v>
      </c>
      <c r="AG19" s="109">
        <f t="shared" si="18"/>
        <v>0</v>
      </c>
      <c r="AH19" s="109">
        <f t="shared" si="18"/>
        <v>0</v>
      </c>
      <c r="AI19" s="109">
        <f t="shared" si="18"/>
        <v>0</v>
      </c>
      <c r="AJ19" s="109">
        <f t="shared" si="18"/>
        <v>0</v>
      </c>
      <c r="AK19" s="109">
        <f t="shared" si="18"/>
        <v>0</v>
      </c>
      <c r="AL19" s="109">
        <f t="shared" si="18"/>
        <v>0</v>
      </c>
      <c r="AM19" s="109">
        <f t="shared" si="18"/>
        <v>0</v>
      </c>
    </row>
    <row r="20" spans="1:39" ht="15.75" thickBot="1" x14ac:dyDescent="0.3">
      <c r="A20" s="227"/>
      <c r="B20" s="644">
        <v>1</v>
      </c>
      <c r="C20" s="111"/>
      <c r="D20" s="291" t="s">
        <v>399</v>
      </c>
      <c r="N20" s="78"/>
      <c r="O20" s="79"/>
      <c r="P20" s="80"/>
      <c r="AE20" s="99">
        <f>B20*C20</f>
        <v>0</v>
      </c>
      <c r="AF20" s="99">
        <f>IF($AE20*2&lt;=C20,$AE20,0)</f>
        <v>0</v>
      </c>
      <c r="AG20" s="99">
        <f>IF($AE20*3&lt;=$C20,$AE20,0)</f>
        <v>0</v>
      </c>
      <c r="AH20" s="99">
        <f>IF($AE20*4&lt;=$C20,$AE20,0)</f>
        <v>0</v>
      </c>
      <c r="AI20" s="99">
        <f>IF($AE20*5&lt;=$C20,$AE20,0)</f>
        <v>0</v>
      </c>
      <c r="AJ20" s="99">
        <f>IF($AE20*6&lt;=$C20,$AE20,0)</f>
        <v>0</v>
      </c>
      <c r="AK20" s="99">
        <f>IF($AE20*7&lt;=$C20,$AE20,0)</f>
        <v>0</v>
      </c>
      <c r="AL20" s="99">
        <f>IF($AE20*8&lt;=$C20,$AE20,0)</f>
        <v>0</v>
      </c>
      <c r="AM20" s="99">
        <f>IF($AE20*9&lt;=$C20,$AE20,0)</f>
        <v>0</v>
      </c>
    </row>
    <row r="21" spans="1:39" ht="15.75" thickBot="1" x14ac:dyDescent="0.3">
      <c r="A21" s="236" t="s">
        <v>285</v>
      </c>
      <c r="B21" s="236"/>
      <c r="C21" s="237"/>
      <c r="N21" s="78">
        <v>2</v>
      </c>
      <c r="O21" s="79">
        <v>290</v>
      </c>
      <c r="P21" s="80" t="s">
        <v>116</v>
      </c>
      <c r="AE21" s="238">
        <f>AE3+AE6+AE9+AE12+AE16+AE19</f>
        <v>0</v>
      </c>
      <c r="AF21" s="238">
        <f t="shared" ref="AF21:AM21" si="19">AF3+AF6+AF9+AF12+AF16+AF19</f>
        <v>0</v>
      </c>
      <c r="AG21" s="238">
        <f t="shared" si="19"/>
        <v>0</v>
      </c>
      <c r="AH21" s="238">
        <f t="shared" si="19"/>
        <v>0</v>
      </c>
      <c r="AI21" s="238">
        <f t="shared" si="19"/>
        <v>0</v>
      </c>
      <c r="AJ21" s="238">
        <f t="shared" si="19"/>
        <v>0</v>
      </c>
      <c r="AK21" s="238">
        <f t="shared" si="19"/>
        <v>0</v>
      </c>
      <c r="AL21" s="238">
        <f t="shared" si="19"/>
        <v>0</v>
      </c>
      <c r="AM21" s="238">
        <f t="shared" si="19"/>
        <v>0</v>
      </c>
    </row>
    <row r="22" spans="1:39" ht="19.5" thickBot="1" x14ac:dyDescent="0.35">
      <c r="A22" s="239" t="s">
        <v>318</v>
      </c>
      <c r="B22" s="240"/>
      <c r="C22" s="241">
        <f>C3+C6+C9+C12+C16+C19</f>
        <v>0</v>
      </c>
      <c r="N22" s="78">
        <v>2</v>
      </c>
      <c r="O22" s="79">
        <v>291</v>
      </c>
      <c r="P22" s="80" t="s">
        <v>117</v>
      </c>
    </row>
    <row r="23" spans="1:39" s="64" customFormat="1" ht="19.5" thickBot="1" x14ac:dyDescent="0.35">
      <c r="A23" s="239" t="s">
        <v>319</v>
      </c>
      <c r="B23" s="242">
        <v>0.23</v>
      </c>
      <c r="C23" s="241">
        <f>B23*C22</f>
        <v>0</v>
      </c>
      <c r="N23" s="78">
        <v>2</v>
      </c>
      <c r="O23" s="79">
        <v>2</v>
      </c>
      <c r="P23" s="80" t="s">
        <v>118</v>
      </c>
    </row>
    <row r="24" spans="1:39" s="64" customFormat="1" ht="19.5" thickBot="1" x14ac:dyDescent="0.35">
      <c r="A24" s="317" t="s">
        <v>358</v>
      </c>
      <c r="B24" s="318"/>
      <c r="C24" s="241">
        <f>C22+C23</f>
        <v>0</v>
      </c>
      <c r="N24" s="78"/>
      <c r="O24" s="79"/>
      <c r="P24" s="80"/>
    </row>
    <row r="25" spans="1:39" s="64" customFormat="1" ht="13.5" customHeight="1" thickBot="1" x14ac:dyDescent="0.35">
      <c r="A25" s="243"/>
      <c r="B25" s="244"/>
      <c r="C25" s="245"/>
      <c r="N25" s="78"/>
      <c r="O25" s="79"/>
      <c r="P25" s="80"/>
    </row>
    <row r="26" spans="1:39" ht="19.5" thickBot="1" x14ac:dyDescent="0.35">
      <c r="A26" s="696" t="s">
        <v>92</v>
      </c>
      <c r="B26" s="697"/>
      <c r="C26" s="245"/>
      <c r="G26" s="64"/>
      <c r="H26" s="64"/>
      <c r="I26" s="64"/>
      <c r="J26" s="64"/>
      <c r="K26" s="64"/>
      <c r="N26" s="78">
        <v>2</v>
      </c>
      <c r="O26" s="79">
        <v>211</v>
      </c>
      <c r="P26" s="80" t="s">
        <v>119</v>
      </c>
    </row>
    <row r="27" spans="1:39" ht="16.5" thickBot="1" x14ac:dyDescent="0.3">
      <c r="A27" s="404" t="s">
        <v>316</v>
      </c>
      <c r="B27" s="136"/>
      <c r="C27" s="316" t="s">
        <v>359</v>
      </c>
      <c r="G27" s="64"/>
      <c r="H27" s="64"/>
      <c r="I27" s="64"/>
      <c r="J27" s="64"/>
      <c r="K27" s="64"/>
      <c r="N27" s="78">
        <v>2</v>
      </c>
      <c r="O27" s="79">
        <v>221</v>
      </c>
      <c r="P27" s="80" t="s">
        <v>120</v>
      </c>
    </row>
    <row r="28" spans="1:39" ht="16.5" thickBot="1" x14ac:dyDescent="0.3">
      <c r="A28" s="405" t="s">
        <v>296</v>
      </c>
      <c r="B28" s="526"/>
      <c r="C28" s="316" t="s">
        <v>359</v>
      </c>
      <c r="G28" s="64"/>
      <c r="H28" s="64"/>
      <c r="I28" s="381"/>
      <c r="J28" s="64"/>
      <c r="K28" s="382"/>
      <c r="N28" s="78">
        <v>2</v>
      </c>
      <c r="O28" s="79">
        <v>202</v>
      </c>
      <c r="P28" s="80" t="s">
        <v>121</v>
      </c>
    </row>
    <row r="29" spans="1:39" ht="16.5" thickBot="1" x14ac:dyDescent="0.3">
      <c r="A29" s="405" t="s">
        <v>317</v>
      </c>
      <c r="B29" s="320"/>
      <c r="C29" s="316" t="s">
        <v>359</v>
      </c>
      <c r="N29" s="78">
        <v>2</v>
      </c>
      <c r="O29" s="79">
        <v>200</v>
      </c>
      <c r="P29" s="80" t="s">
        <v>122</v>
      </c>
    </row>
    <row r="30" spans="1:39" ht="16.5" thickBot="1" x14ac:dyDescent="0.3">
      <c r="D30" s="695" t="s">
        <v>321</v>
      </c>
      <c r="E30" s="695"/>
      <c r="F30" s="695"/>
      <c r="G30" s="695"/>
      <c r="H30" s="695"/>
      <c r="I30" s="695"/>
      <c r="J30" s="695"/>
      <c r="K30" s="695"/>
      <c r="L30" s="695"/>
      <c r="N30" s="78">
        <v>3</v>
      </c>
      <c r="O30" s="79">
        <v>3</v>
      </c>
      <c r="P30" s="80" t="s">
        <v>123</v>
      </c>
    </row>
    <row r="31" spans="1:39" ht="47.25" thickBot="1" x14ac:dyDescent="0.4">
      <c r="A31" s="698" t="s">
        <v>283</v>
      </c>
      <c r="B31" s="699"/>
      <c r="C31" s="233" t="s">
        <v>282</v>
      </c>
      <c r="D31" s="246">
        <f>RZiS!F6</f>
        <v>2024</v>
      </c>
      <c r="E31" s="246">
        <f>RZiS!G6</f>
        <v>2025</v>
      </c>
      <c r="F31" s="246">
        <f>RZiS!H6</f>
        <v>2026</v>
      </c>
      <c r="G31" s="246" t="s">
        <v>15</v>
      </c>
      <c r="H31" s="246" t="s">
        <v>16</v>
      </c>
      <c r="I31" s="246" t="s">
        <v>93</v>
      </c>
      <c r="J31" s="246" t="s">
        <v>94</v>
      </c>
      <c r="K31" s="246" t="s">
        <v>95</v>
      </c>
      <c r="L31" s="246" t="s">
        <v>96</v>
      </c>
      <c r="N31" s="78">
        <v>3</v>
      </c>
      <c r="O31" s="79">
        <v>323</v>
      </c>
      <c r="P31" s="80" t="s">
        <v>124</v>
      </c>
    </row>
    <row r="32" spans="1:39" ht="15.75" thickBot="1" x14ac:dyDescent="0.3">
      <c r="A32" s="645" t="s">
        <v>291</v>
      </c>
      <c r="B32" s="646"/>
      <c r="C32" s="112">
        <f>'załącznik nr 1 porównawczy'!B72</f>
        <v>0</v>
      </c>
      <c r="D32" s="110"/>
      <c r="E32" s="110"/>
      <c r="F32" s="110"/>
      <c r="G32" s="110"/>
      <c r="H32" s="110"/>
      <c r="I32" s="110"/>
      <c r="J32" s="110"/>
      <c r="K32" s="110"/>
      <c r="L32" s="110"/>
      <c r="M32" s="315" t="s">
        <v>360</v>
      </c>
      <c r="N32" s="78">
        <v>3</v>
      </c>
      <c r="O32" s="79">
        <v>324</v>
      </c>
      <c r="P32" s="80" t="s">
        <v>125</v>
      </c>
    </row>
    <row r="33" spans="1:16" ht="15.75" thickBot="1" x14ac:dyDescent="0.3">
      <c r="A33" s="645" t="s">
        <v>5</v>
      </c>
      <c r="B33" s="646"/>
      <c r="C33" s="112">
        <f>'załącznik nr 1 porównawczy'!B73</f>
        <v>0</v>
      </c>
      <c r="D33" s="638"/>
      <c r="E33" s="638"/>
      <c r="F33" s="638"/>
      <c r="G33" s="638"/>
      <c r="H33" s="638"/>
      <c r="I33" s="638"/>
      <c r="J33" s="638"/>
      <c r="K33" s="638"/>
      <c r="L33" s="638"/>
      <c r="M33" s="315" t="s">
        <v>360</v>
      </c>
      <c r="N33" s="78">
        <v>3</v>
      </c>
      <c r="O33" s="79">
        <v>325</v>
      </c>
      <c r="P33" s="80" t="s">
        <v>126</v>
      </c>
    </row>
    <row r="34" spans="1:16" ht="15.75" thickBot="1" x14ac:dyDescent="0.3">
      <c r="A34" s="645" t="s">
        <v>8</v>
      </c>
      <c r="B34" s="646"/>
      <c r="C34" s="112">
        <f>'załącznik nr 1 porównawczy'!B74</f>
        <v>0</v>
      </c>
      <c r="D34" s="110"/>
      <c r="E34" s="110"/>
      <c r="F34" s="110"/>
      <c r="G34" s="110"/>
      <c r="H34" s="110"/>
      <c r="I34" s="110"/>
      <c r="J34" s="110"/>
      <c r="K34" s="110"/>
      <c r="L34" s="110"/>
      <c r="M34" s="315" t="s">
        <v>360</v>
      </c>
      <c r="N34" s="78">
        <v>3</v>
      </c>
      <c r="O34" s="79">
        <v>326</v>
      </c>
      <c r="P34" s="80" t="s">
        <v>127</v>
      </c>
    </row>
    <row r="35" spans="1:16" ht="15.75" thickBot="1" x14ac:dyDescent="0.3">
      <c r="A35" s="645" t="s">
        <v>9</v>
      </c>
      <c r="B35" s="646"/>
      <c r="C35" s="112">
        <f>'załącznik nr 1 porównawczy'!B75</f>
        <v>0</v>
      </c>
      <c r="D35" s="110"/>
      <c r="E35" s="110"/>
      <c r="F35" s="110"/>
      <c r="G35" s="110"/>
      <c r="H35" s="110"/>
      <c r="I35" s="110"/>
      <c r="J35" s="110"/>
      <c r="K35" s="110"/>
      <c r="L35" s="110"/>
      <c r="M35" s="315" t="s">
        <v>360</v>
      </c>
      <c r="N35" s="78">
        <v>3</v>
      </c>
      <c r="O35" s="79">
        <v>343</v>
      </c>
      <c r="P35" s="80" t="s">
        <v>128</v>
      </c>
    </row>
    <row r="36" spans="1:16" ht="15.75" thickBot="1" x14ac:dyDescent="0.3">
      <c r="A36" s="645" t="s">
        <v>10</v>
      </c>
      <c r="B36" s="646"/>
      <c r="C36" s="112">
        <f>'załącznik nr 1 porównawczy'!B76</f>
        <v>0</v>
      </c>
      <c r="D36" s="110"/>
      <c r="E36" s="110"/>
      <c r="F36" s="110"/>
      <c r="G36" s="110"/>
      <c r="H36" s="110"/>
      <c r="I36" s="110"/>
      <c r="J36" s="110"/>
      <c r="K36" s="110"/>
      <c r="L36" s="110"/>
      <c r="M36" s="315" t="s">
        <v>360</v>
      </c>
      <c r="N36" s="81">
        <v>3</v>
      </c>
      <c r="O36" s="82">
        <v>344</v>
      </c>
      <c r="P36" s="83" t="s">
        <v>129</v>
      </c>
    </row>
    <row r="37" spans="1:16" ht="15.75" thickBot="1" x14ac:dyDescent="0.3">
      <c r="A37" s="647" t="s">
        <v>11</v>
      </c>
      <c r="B37" s="648"/>
      <c r="C37" s="112">
        <f>'załącznik nr 1 porównawczy'!B77</f>
        <v>0</v>
      </c>
      <c r="D37" s="110"/>
      <c r="E37" s="110"/>
      <c r="F37" s="110"/>
      <c r="G37" s="110"/>
      <c r="H37" s="110"/>
      <c r="I37" s="110"/>
      <c r="J37" s="110"/>
      <c r="K37" s="110"/>
      <c r="L37" s="110"/>
      <c r="M37" s="315" t="s">
        <v>360</v>
      </c>
      <c r="N37" s="84">
        <v>3</v>
      </c>
      <c r="O37" s="76">
        <v>349</v>
      </c>
      <c r="P37" s="77" t="s">
        <v>130</v>
      </c>
    </row>
    <row r="38" spans="1:16" ht="15.75" thickBot="1" x14ac:dyDescent="0.3">
      <c r="A38" s="247"/>
      <c r="B38" s="248"/>
      <c r="C38" s="249"/>
      <c r="D38" s="249">
        <f t="shared" ref="D38:L38" si="20">SUM(D32:D37)</f>
        <v>0</v>
      </c>
      <c r="E38" s="238">
        <f t="shared" si="20"/>
        <v>0</v>
      </c>
      <c r="F38" s="238">
        <f t="shared" si="20"/>
        <v>0</v>
      </c>
      <c r="G38" s="238">
        <f t="shared" si="20"/>
        <v>0</v>
      </c>
      <c r="H38" s="238">
        <f t="shared" si="20"/>
        <v>0</v>
      </c>
      <c r="I38" s="238">
        <f t="shared" si="20"/>
        <v>0</v>
      </c>
      <c r="J38" s="238">
        <f t="shared" si="20"/>
        <v>0</v>
      </c>
      <c r="K38" s="238">
        <f t="shared" si="20"/>
        <v>0</v>
      </c>
      <c r="L38" s="238">
        <f t="shared" si="20"/>
        <v>0</v>
      </c>
      <c r="M38" s="295"/>
      <c r="N38" s="78">
        <v>4</v>
      </c>
      <c r="O38" s="79">
        <v>431</v>
      </c>
      <c r="P38" s="80" t="s">
        <v>131</v>
      </c>
    </row>
    <row r="39" spans="1:16" ht="19.5" thickBot="1" x14ac:dyDescent="0.35">
      <c r="A39" s="250" t="s">
        <v>284</v>
      </c>
      <c r="B39" s="251"/>
      <c r="C39" s="252">
        <f>C32+C33+C34+C35+C36+C37</f>
        <v>0</v>
      </c>
      <c r="D39" s="44"/>
      <c r="E39" s="44"/>
      <c r="F39" s="44"/>
      <c r="G39" s="44"/>
      <c r="H39" s="44"/>
      <c r="I39" s="44"/>
      <c r="J39" s="44"/>
      <c r="K39" s="44"/>
      <c r="L39" s="44"/>
      <c r="N39" s="78">
        <v>4</v>
      </c>
      <c r="O39" s="79">
        <v>431</v>
      </c>
      <c r="P39" s="80" t="s">
        <v>132</v>
      </c>
    </row>
    <row r="40" spans="1:16" ht="15.75" thickBot="1" x14ac:dyDescent="0.3">
      <c r="N40" s="78">
        <v>4</v>
      </c>
      <c r="O40" s="79">
        <v>450</v>
      </c>
      <c r="P40" s="80" t="s">
        <v>133</v>
      </c>
    </row>
    <row r="41" spans="1:16" ht="18.75" hidden="1" x14ac:dyDescent="0.3">
      <c r="A41" s="253" t="s">
        <v>286</v>
      </c>
      <c r="B41" s="254"/>
      <c r="C41" s="255"/>
      <c r="D41" s="256">
        <f t="shared" ref="D41:L41" si="21">SUM(D42:D47)</f>
        <v>0</v>
      </c>
      <c r="E41" s="256">
        <f t="shared" si="21"/>
        <v>0</v>
      </c>
      <c r="F41" s="256">
        <f t="shared" si="21"/>
        <v>0</v>
      </c>
      <c r="G41" s="256">
        <f t="shared" si="21"/>
        <v>0</v>
      </c>
      <c r="H41" s="256">
        <f t="shared" si="21"/>
        <v>0</v>
      </c>
      <c r="I41" s="256">
        <f t="shared" si="21"/>
        <v>0</v>
      </c>
      <c r="J41" s="256">
        <f t="shared" si="21"/>
        <v>0</v>
      </c>
      <c r="K41" s="256">
        <f t="shared" si="21"/>
        <v>0</v>
      </c>
      <c r="L41" s="256">
        <f t="shared" si="21"/>
        <v>0</v>
      </c>
    </row>
    <row r="42" spans="1:16" hidden="1" x14ac:dyDescent="0.25">
      <c r="A42" s="257" t="s">
        <v>12</v>
      </c>
      <c r="B42" s="258"/>
      <c r="C42" s="259"/>
      <c r="D42" s="260">
        <f t="shared" ref="D42:L42" si="22">AE3+D32</f>
        <v>0</v>
      </c>
      <c r="E42" s="260">
        <f t="shared" si="22"/>
        <v>0</v>
      </c>
      <c r="F42" s="260">
        <f t="shared" si="22"/>
        <v>0</v>
      </c>
      <c r="G42" s="260">
        <f t="shared" si="22"/>
        <v>0</v>
      </c>
      <c r="H42" s="260">
        <f t="shared" si="22"/>
        <v>0</v>
      </c>
      <c r="I42" s="260">
        <f t="shared" si="22"/>
        <v>0</v>
      </c>
      <c r="J42" s="260">
        <f t="shared" si="22"/>
        <v>0</v>
      </c>
      <c r="K42" s="260">
        <f t="shared" si="22"/>
        <v>0</v>
      </c>
      <c r="L42" s="260">
        <f t="shared" si="22"/>
        <v>0</v>
      </c>
    </row>
    <row r="43" spans="1:16" hidden="1" x14ac:dyDescent="0.25">
      <c r="A43" s="261" t="s">
        <v>5</v>
      </c>
      <c r="B43" s="261"/>
      <c r="C43" s="98"/>
      <c r="D43" s="260"/>
      <c r="E43" s="260"/>
      <c r="F43" s="260"/>
      <c r="G43" s="260"/>
      <c r="H43" s="260"/>
      <c r="I43" s="260"/>
      <c r="J43" s="260"/>
      <c r="K43" s="260"/>
      <c r="L43" s="260"/>
    </row>
    <row r="44" spans="1:16" hidden="1" x14ac:dyDescent="0.25">
      <c r="A44" s="257" t="s">
        <v>8</v>
      </c>
      <c r="B44" s="258"/>
      <c r="C44" s="259"/>
      <c r="D44" s="260">
        <f t="shared" ref="D44:L44" si="23">AE9+D34</f>
        <v>0</v>
      </c>
      <c r="E44" s="260">
        <f t="shared" si="23"/>
        <v>0</v>
      </c>
      <c r="F44" s="260">
        <f t="shared" si="23"/>
        <v>0</v>
      </c>
      <c r="G44" s="260">
        <f t="shared" si="23"/>
        <v>0</v>
      </c>
      <c r="H44" s="260">
        <f t="shared" si="23"/>
        <v>0</v>
      </c>
      <c r="I44" s="260">
        <f t="shared" si="23"/>
        <v>0</v>
      </c>
      <c r="J44" s="260">
        <f t="shared" si="23"/>
        <v>0</v>
      </c>
      <c r="K44" s="260">
        <f t="shared" si="23"/>
        <v>0</v>
      </c>
      <c r="L44" s="260">
        <f t="shared" si="23"/>
        <v>0</v>
      </c>
    </row>
    <row r="45" spans="1:16" hidden="1" x14ac:dyDescent="0.25">
      <c r="A45" s="257" t="s">
        <v>9</v>
      </c>
      <c r="B45" s="258"/>
      <c r="C45" s="259"/>
      <c r="D45" s="260">
        <f t="shared" ref="D45:L45" si="24">AE12+D35</f>
        <v>0</v>
      </c>
      <c r="E45" s="260">
        <f t="shared" si="24"/>
        <v>0</v>
      </c>
      <c r="F45" s="260">
        <f t="shared" si="24"/>
        <v>0</v>
      </c>
      <c r="G45" s="260">
        <f t="shared" si="24"/>
        <v>0</v>
      </c>
      <c r="H45" s="260">
        <f t="shared" si="24"/>
        <v>0</v>
      </c>
      <c r="I45" s="260">
        <f t="shared" si="24"/>
        <v>0</v>
      </c>
      <c r="J45" s="260">
        <f t="shared" si="24"/>
        <v>0</v>
      </c>
      <c r="K45" s="260">
        <f t="shared" si="24"/>
        <v>0</v>
      </c>
      <c r="L45" s="260">
        <f t="shared" si="24"/>
        <v>0</v>
      </c>
    </row>
    <row r="46" spans="1:16" hidden="1" x14ac:dyDescent="0.25">
      <c r="A46" s="257" t="s">
        <v>10</v>
      </c>
      <c r="B46" s="258"/>
      <c r="C46" s="259"/>
      <c r="D46" s="260">
        <f t="shared" ref="D46:L46" si="25">AE16+D36</f>
        <v>0</v>
      </c>
      <c r="E46" s="260">
        <f t="shared" si="25"/>
        <v>0</v>
      </c>
      <c r="F46" s="260">
        <f t="shared" si="25"/>
        <v>0</v>
      </c>
      <c r="G46" s="260">
        <f t="shared" si="25"/>
        <v>0</v>
      </c>
      <c r="H46" s="260">
        <f t="shared" si="25"/>
        <v>0</v>
      </c>
      <c r="I46" s="260">
        <f t="shared" si="25"/>
        <v>0</v>
      </c>
      <c r="J46" s="260">
        <f t="shared" si="25"/>
        <v>0</v>
      </c>
      <c r="K46" s="260">
        <f t="shared" si="25"/>
        <v>0</v>
      </c>
      <c r="L46" s="260">
        <f t="shared" si="25"/>
        <v>0</v>
      </c>
    </row>
    <row r="47" spans="1:16" hidden="1" x14ac:dyDescent="0.25">
      <c r="A47" s="257" t="s">
        <v>11</v>
      </c>
      <c r="B47" s="258"/>
      <c r="C47" s="259"/>
      <c r="D47" s="260">
        <f t="shared" ref="D47:L47" si="26">AE19+D37</f>
        <v>0</v>
      </c>
      <c r="E47" s="260">
        <f t="shared" si="26"/>
        <v>0</v>
      </c>
      <c r="F47" s="260">
        <f t="shared" si="26"/>
        <v>0</v>
      </c>
      <c r="G47" s="260">
        <f t="shared" si="26"/>
        <v>0</v>
      </c>
      <c r="H47" s="260">
        <f t="shared" si="26"/>
        <v>0</v>
      </c>
      <c r="I47" s="260">
        <f t="shared" si="26"/>
        <v>0</v>
      </c>
      <c r="J47" s="260">
        <f t="shared" si="26"/>
        <v>0</v>
      </c>
      <c r="K47" s="260">
        <f t="shared" si="26"/>
        <v>0</v>
      </c>
      <c r="L47" s="260">
        <f t="shared" si="26"/>
        <v>0</v>
      </c>
    </row>
    <row r="48" spans="1:16" ht="19.5" thickBot="1" x14ac:dyDescent="0.35">
      <c r="A48" s="243"/>
      <c r="B48" s="244"/>
      <c r="C48" s="245"/>
      <c r="N48" s="79">
        <v>4</v>
      </c>
      <c r="O48" s="79">
        <v>451</v>
      </c>
      <c r="P48" s="80" t="s">
        <v>134</v>
      </c>
    </row>
    <row r="49" spans="1:16" ht="15.75" thickBot="1" x14ac:dyDescent="0.3">
      <c r="A49" s="494"/>
      <c r="B49" s="301"/>
      <c r="C49" s="495"/>
      <c r="D49" s="496"/>
      <c r="E49" s="496"/>
      <c r="F49" s="488"/>
      <c r="G49" s="496"/>
      <c r="N49" s="79">
        <v>4</v>
      </c>
      <c r="O49" s="79">
        <v>454</v>
      </c>
      <c r="P49" s="80" t="s">
        <v>135</v>
      </c>
    </row>
    <row r="50" spans="1:16" ht="15.75" thickBot="1" x14ac:dyDescent="0.3">
      <c r="A50" s="497"/>
      <c r="B50" s="301"/>
      <c r="C50" s="498"/>
      <c r="D50" s="499"/>
      <c r="E50" s="499"/>
      <c r="F50" s="490"/>
      <c r="G50" s="499"/>
      <c r="H50" s="64"/>
      <c r="I50" s="64"/>
      <c r="J50" s="64"/>
      <c r="K50" s="64"/>
      <c r="L50" s="64"/>
      <c r="N50" s="79">
        <v>4</v>
      </c>
      <c r="O50" s="79">
        <v>475</v>
      </c>
      <c r="P50" s="80" t="s">
        <v>136</v>
      </c>
    </row>
    <row r="51" spans="1:16" ht="15.75" thickBot="1" x14ac:dyDescent="0.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N51" s="79">
        <v>4</v>
      </c>
      <c r="O51" s="79">
        <v>477</v>
      </c>
      <c r="P51" s="80" t="s">
        <v>137</v>
      </c>
    </row>
    <row r="52" spans="1:16" ht="15.75" thickBot="1" x14ac:dyDescent="0.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N52" s="86">
        <v>4</v>
      </c>
      <c r="O52" s="86">
        <v>4</v>
      </c>
      <c r="P52" s="87" t="s">
        <v>138</v>
      </c>
    </row>
    <row r="53" spans="1:16" ht="15.75" thickBot="1" x14ac:dyDescent="0.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N53" s="79">
        <v>4</v>
      </c>
      <c r="O53" s="79">
        <v>41</v>
      </c>
      <c r="P53" s="80" t="s">
        <v>139</v>
      </c>
    </row>
    <row r="54" spans="1:16" ht="15.75" thickBot="1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N54" s="79">
        <v>4</v>
      </c>
      <c r="O54" s="79">
        <v>44</v>
      </c>
      <c r="P54" s="80" t="s">
        <v>140</v>
      </c>
    </row>
    <row r="55" spans="1:16" ht="15.75" thickBot="1" x14ac:dyDescent="0.3">
      <c r="A55" s="262"/>
      <c r="B55" s="262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N55" s="79">
        <v>4</v>
      </c>
      <c r="O55" s="79">
        <v>46</v>
      </c>
      <c r="P55" s="80" t="s">
        <v>141</v>
      </c>
    </row>
    <row r="56" spans="1:16" ht="15.75" thickBot="1" x14ac:dyDescent="0.3">
      <c r="A56" s="26"/>
      <c r="B56" s="26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N56" s="79">
        <v>4</v>
      </c>
      <c r="O56" s="79">
        <v>47</v>
      </c>
      <c r="P56" s="80" t="s">
        <v>142</v>
      </c>
    </row>
    <row r="57" spans="1:16" ht="15.75" thickBot="1" x14ac:dyDescent="0.3">
      <c r="A57" s="262"/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N57" s="79">
        <v>4</v>
      </c>
      <c r="O57" s="79">
        <v>449</v>
      </c>
      <c r="P57" s="80" t="s">
        <v>143</v>
      </c>
    </row>
    <row r="58" spans="1:16" ht="15.75" thickBot="1" x14ac:dyDescent="0.3">
      <c r="A58" s="262"/>
      <c r="B58" s="262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N58" s="79">
        <v>4</v>
      </c>
      <c r="O58" s="79">
        <v>465</v>
      </c>
      <c r="P58" s="80" t="s">
        <v>144</v>
      </c>
    </row>
    <row r="59" spans="1:16" ht="15.75" thickBot="1" x14ac:dyDescent="0.3">
      <c r="A59" s="262"/>
      <c r="B59" s="262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N59" s="79">
        <v>4</v>
      </c>
      <c r="O59" s="79">
        <v>469</v>
      </c>
      <c r="P59" s="80" t="s">
        <v>145</v>
      </c>
    </row>
    <row r="60" spans="1:16" ht="15.75" thickBot="1" x14ac:dyDescent="0.3">
      <c r="A60" s="262"/>
      <c r="B60" s="262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N60" s="79">
        <v>4</v>
      </c>
      <c r="O60" s="79">
        <v>474</v>
      </c>
      <c r="P60" s="80" t="s">
        <v>146</v>
      </c>
    </row>
    <row r="61" spans="1:16" ht="15.75" thickBot="1" x14ac:dyDescent="0.3">
      <c r="A61" s="264"/>
      <c r="B61" s="264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N61" s="79">
        <v>4</v>
      </c>
      <c r="O61" s="79">
        <v>479</v>
      </c>
      <c r="P61" s="80" t="s">
        <v>147</v>
      </c>
    </row>
    <row r="62" spans="1:16" ht="15.75" thickBot="1" x14ac:dyDescent="0.3">
      <c r="A62" s="64"/>
      <c r="B62" s="64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N62" s="79">
        <v>4</v>
      </c>
      <c r="O62" s="79">
        <v>481</v>
      </c>
      <c r="P62" s="80" t="s">
        <v>148</v>
      </c>
    </row>
    <row r="63" spans="1:16" ht="18.75" customHeight="1" thickBot="1" x14ac:dyDescent="0.3">
      <c r="A63" s="262"/>
      <c r="B63" s="262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N63" s="79">
        <v>4</v>
      </c>
      <c r="O63" s="79">
        <v>482</v>
      </c>
      <c r="P63" s="80" t="s">
        <v>149</v>
      </c>
    </row>
    <row r="64" spans="1:16" ht="18.75" customHeight="1" thickBot="1" x14ac:dyDescent="0.3">
      <c r="A64" s="267"/>
      <c r="B64" s="267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N64" s="79">
        <v>4</v>
      </c>
      <c r="O64" s="79">
        <v>484</v>
      </c>
      <c r="P64" s="80" t="s">
        <v>150</v>
      </c>
    </row>
    <row r="65" spans="1:16" ht="18.75" customHeight="1" thickBot="1" x14ac:dyDescent="0.3">
      <c r="A65" s="267"/>
      <c r="B65" s="267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N65" s="79">
        <v>4</v>
      </c>
      <c r="O65" s="79">
        <v>484</v>
      </c>
      <c r="P65" s="80" t="s">
        <v>151</v>
      </c>
    </row>
    <row r="66" spans="1:16" ht="15.75" thickBot="1" x14ac:dyDescent="0.3">
      <c r="A66" s="267"/>
      <c r="B66" s="267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N66" s="79">
        <v>4</v>
      </c>
      <c r="O66" s="79">
        <v>484</v>
      </c>
      <c r="P66" s="80" t="s">
        <v>152</v>
      </c>
    </row>
    <row r="67" spans="1:16" ht="15.75" thickBot="1" x14ac:dyDescent="0.3">
      <c r="A67" s="267"/>
      <c r="B67" s="267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N67" s="79">
        <v>4</v>
      </c>
      <c r="O67" s="79">
        <v>484</v>
      </c>
      <c r="P67" s="80" t="s">
        <v>153</v>
      </c>
    </row>
    <row r="68" spans="1:16" ht="15.75" thickBot="1" x14ac:dyDescent="0.3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N68" s="79">
        <v>4</v>
      </c>
      <c r="O68" s="79">
        <v>490</v>
      </c>
      <c r="P68" s="80" t="s">
        <v>154</v>
      </c>
    </row>
    <row r="69" spans="1:16" ht="15.75" thickBot="1" x14ac:dyDescent="0.3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N69" s="79">
        <v>4</v>
      </c>
      <c r="O69" s="79">
        <v>492</v>
      </c>
      <c r="P69" s="80" t="s">
        <v>155</v>
      </c>
    </row>
    <row r="70" spans="1:16" ht="15.75" thickBot="1" x14ac:dyDescent="0.3">
      <c r="A70" s="264"/>
      <c r="B70" s="264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N70" s="79">
        <v>4</v>
      </c>
      <c r="O70" s="79">
        <v>493</v>
      </c>
      <c r="P70" s="80" t="s">
        <v>156</v>
      </c>
    </row>
    <row r="71" spans="1:16" ht="15.75" thickBot="1" x14ac:dyDescent="0.3">
      <c r="A71" s="26"/>
      <c r="B71" s="26"/>
      <c r="C71" s="266"/>
      <c r="D71" s="267"/>
      <c r="E71" s="267"/>
      <c r="F71" s="267"/>
      <c r="G71" s="267"/>
      <c r="H71" s="267"/>
      <c r="I71" s="267"/>
      <c r="J71" s="267"/>
      <c r="K71" s="267"/>
      <c r="L71" s="267"/>
      <c r="N71" s="79">
        <v>4</v>
      </c>
      <c r="O71" s="79">
        <v>434</v>
      </c>
      <c r="P71" s="80" t="s">
        <v>157</v>
      </c>
    </row>
    <row r="72" spans="1:16" ht="15.75" thickBot="1" x14ac:dyDescent="0.3">
      <c r="A72" s="26"/>
      <c r="B72" s="26"/>
      <c r="C72" s="266"/>
      <c r="D72" s="267"/>
      <c r="E72" s="267"/>
      <c r="F72" s="267"/>
      <c r="G72" s="267"/>
      <c r="H72" s="267"/>
      <c r="I72" s="267"/>
      <c r="J72" s="267"/>
      <c r="K72" s="267"/>
      <c r="L72" s="267"/>
      <c r="N72" s="79">
        <v>4</v>
      </c>
      <c r="O72" s="79">
        <v>465</v>
      </c>
      <c r="P72" s="80" t="s">
        <v>158</v>
      </c>
    </row>
    <row r="73" spans="1:16" ht="15.75" thickBot="1" x14ac:dyDescent="0.3">
      <c r="A73" s="26"/>
      <c r="B73" s="26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N73" s="82">
        <v>4</v>
      </c>
      <c r="O73" s="82">
        <v>491</v>
      </c>
      <c r="P73" s="83" t="s">
        <v>159</v>
      </c>
    </row>
    <row r="74" spans="1:16" ht="15.75" thickBot="1" x14ac:dyDescent="0.3">
      <c r="A74" s="26"/>
      <c r="B74" s="26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N74" s="76">
        <v>5</v>
      </c>
      <c r="O74" s="76">
        <v>506</v>
      </c>
      <c r="P74" s="77" t="s">
        <v>160</v>
      </c>
    </row>
    <row r="75" spans="1:16" ht="15.75" thickBot="1" x14ac:dyDescent="0.3">
      <c r="A75" s="26"/>
      <c r="B75" s="26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N75" s="79">
        <v>5</v>
      </c>
      <c r="O75" s="79">
        <v>507</v>
      </c>
      <c r="P75" s="80" t="s">
        <v>161</v>
      </c>
    </row>
    <row r="76" spans="1:16" ht="15.75" thickBot="1" x14ac:dyDescent="0.3">
      <c r="A76" s="26"/>
      <c r="B76" s="26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N76" s="79">
        <v>5</v>
      </c>
      <c r="O76" s="79">
        <v>548</v>
      </c>
      <c r="P76" s="80" t="s">
        <v>162</v>
      </c>
    </row>
    <row r="77" spans="1:16" ht="15.75" thickBot="1" x14ac:dyDescent="0.3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N77" s="79">
        <v>5</v>
      </c>
      <c r="O77" s="79">
        <v>583</v>
      </c>
      <c r="P77" s="80" t="s">
        <v>163</v>
      </c>
    </row>
    <row r="78" spans="1:16" ht="15.75" thickBot="1" x14ac:dyDescent="0.3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N78" s="79">
        <v>5</v>
      </c>
      <c r="O78" s="79">
        <v>583</v>
      </c>
      <c r="P78" s="80" t="s">
        <v>164</v>
      </c>
    </row>
    <row r="79" spans="1:16" ht="15.75" thickBot="1" x14ac:dyDescent="0.3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N79" s="79">
        <v>5</v>
      </c>
      <c r="O79" s="79">
        <v>56</v>
      </c>
      <c r="P79" s="80" t="s">
        <v>165</v>
      </c>
    </row>
    <row r="80" spans="1:16" ht="15" customHeight="1" thickBot="1" x14ac:dyDescent="0.3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N80" s="79">
        <v>5</v>
      </c>
      <c r="O80" s="79">
        <v>512</v>
      </c>
      <c r="P80" s="80" t="s">
        <v>166</v>
      </c>
    </row>
    <row r="81" spans="1:16" ht="15.75" thickBot="1" x14ac:dyDescent="0.3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N81" s="79">
        <v>5</v>
      </c>
      <c r="O81" s="79">
        <v>513</v>
      </c>
      <c r="P81" s="80" t="s">
        <v>167</v>
      </c>
    </row>
    <row r="82" spans="1:16" ht="15.75" thickBot="1" x14ac:dyDescent="0.3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N82" s="79">
        <v>5</v>
      </c>
      <c r="O82" s="79">
        <v>514</v>
      </c>
      <c r="P82" s="80" t="s">
        <v>168</v>
      </c>
    </row>
    <row r="83" spans="1:16" ht="15.75" thickBot="1" x14ac:dyDescent="0.3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N83" s="79">
        <v>5</v>
      </c>
      <c r="O83" s="79">
        <v>514</v>
      </c>
      <c r="P83" s="80" t="s">
        <v>169</v>
      </c>
    </row>
    <row r="84" spans="1:16" ht="15.75" thickBot="1" x14ac:dyDescent="0.3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N84" s="79">
        <v>5</v>
      </c>
      <c r="O84" s="79">
        <v>514</v>
      </c>
      <c r="P84" s="80" t="s">
        <v>170</v>
      </c>
    </row>
    <row r="85" spans="1:16" ht="15.75" thickBot="1" x14ac:dyDescent="0.3">
      <c r="A85" s="26"/>
      <c r="B85" s="2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N85" s="79">
        <v>5</v>
      </c>
      <c r="O85" s="79">
        <v>514</v>
      </c>
      <c r="P85" s="80" t="s">
        <v>171</v>
      </c>
    </row>
    <row r="86" spans="1:16" ht="15.75" thickBot="1" x14ac:dyDescent="0.3">
      <c r="A86" s="264"/>
      <c r="B86" s="264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64"/>
      <c r="N86" s="79">
        <v>5</v>
      </c>
      <c r="O86" s="79">
        <v>514</v>
      </c>
      <c r="P86" s="80" t="s">
        <v>172</v>
      </c>
    </row>
    <row r="87" spans="1:16" ht="15.75" thickBot="1" x14ac:dyDescent="0.3">
      <c r="A87" s="267"/>
      <c r="B87" s="26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64"/>
      <c r="N87" s="79">
        <v>5</v>
      </c>
      <c r="O87" s="79">
        <v>520</v>
      </c>
      <c r="P87" s="80" t="s">
        <v>173</v>
      </c>
    </row>
    <row r="88" spans="1:16" ht="15.75" thickBot="1" x14ac:dyDescent="0.3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64"/>
      <c r="N88" s="79">
        <v>5</v>
      </c>
      <c r="O88" s="79">
        <v>520</v>
      </c>
      <c r="P88" s="80" t="s">
        <v>174</v>
      </c>
    </row>
    <row r="89" spans="1:16" ht="15.75" thickBot="1" x14ac:dyDescent="0.3">
      <c r="A89" s="26"/>
      <c r="B89" s="26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64"/>
      <c r="N89" s="79">
        <v>5</v>
      </c>
      <c r="O89" s="79">
        <v>520</v>
      </c>
      <c r="P89" s="80" t="s">
        <v>175</v>
      </c>
    </row>
    <row r="90" spans="1:16" ht="15.75" thickBot="1" x14ac:dyDescent="0.3">
      <c r="A90" s="264"/>
      <c r="B90" s="264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64"/>
      <c r="N90" s="79">
        <v>5</v>
      </c>
      <c r="O90" s="79">
        <v>520</v>
      </c>
      <c r="P90" s="80" t="s">
        <v>176</v>
      </c>
    </row>
    <row r="91" spans="1:16" ht="15.75" thickBot="1" x14ac:dyDescent="0.3">
      <c r="A91" s="270"/>
      <c r="B91" s="270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64"/>
      <c r="N91" s="79">
        <v>5</v>
      </c>
      <c r="O91" s="79">
        <v>520</v>
      </c>
      <c r="P91" s="80" t="s">
        <v>177</v>
      </c>
    </row>
    <row r="92" spans="1:16" ht="15.75" thickBot="1" x14ac:dyDescent="0.3">
      <c r="A92" s="272"/>
      <c r="B92" s="272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64"/>
      <c r="N92" s="79">
        <v>5</v>
      </c>
      <c r="O92" s="79">
        <v>520</v>
      </c>
      <c r="P92" s="80" t="s">
        <v>178</v>
      </c>
    </row>
    <row r="93" spans="1:16" ht="15.75" thickBot="1" x14ac:dyDescent="0.3">
      <c r="A93" s="267"/>
      <c r="B93" s="267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64"/>
      <c r="N93" s="79">
        <v>5</v>
      </c>
      <c r="O93" s="79">
        <v>523</v>
      </c>
      <c r="P93" s="80" t="s">
        <v>179</v>
      </c>
    </row>
    <row r="94" spans="1:16" ht="15.75" thickBot="1" x14ac:dyDescent="0.3">
      <c r="A94" s="267"/>
      <c r="B94" s="267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64"/>
      <c r="N94" s="79">
        <v>5</v>
      </c>
      <c r="O94" s="79">
        <v>525</v>
      </c>
      <c r="P94" s="80" t="s">
        <v>180</v>
      </c>
    </row>
    <row r="95" spans="1:16" ht="15.75" thickBot="1" x14ac:dyDescent="0.3">
      <c r="A95" s="267"/>
      <c r="B95" s="267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64"/>
      <c r="N95" s="79">
        <v>5</v>
      </c>
      <c r="O95" s="79">
        <v>529</v>
      </c>
      <c r="P95" s="80" t="s">
        <v>181</v>
      </c>
    </row>
    <row r="96" spans="1:16" ht="15.75" thickBot="1" x14ac:dyDescent="0.3">
      <c r="A96" s="267"/>
      <c r="B96" s="267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64"/>
      <c r="N96" s="79">
        <v>5</v>
      </c>
      <c r="O96" s="79">
        <v>529</v>
      </c>
      <c r="P96" s="80" t="s">
        <v>182</v>
      </c>
    </row>
    <row r="97" spans="1:16" ht="15.75" thickBot="1" x14ac:dyDescent="0.3">
      <c r="A97" s="272"/>
      <c r="B97" s="272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64"/>
      <c r="N97" s="79">
        <v>5</v>
      </c>
      <c r="O97" s="79">
        <v>529</v>
      </c>
      <c r="P97" s="80" t="s">
        <v>183</v>
      </c>
    </row>
    <row r="98" spans="1:16" ht="15.75" thickBot="1" x14ac:dyDescent="0.3">
      <c r="A98" s="267"/>
      <c r="B98" s="267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64"/>
      <c r="N98" s="79">
        <v>5</v>
      </c>
      <c r="O98" s="79">
        <v>582</v>
      </c>
      <c r="P98" s="80" t="s">
        <v>184</v>
      </c>
    </row>
    <row r="99" spans="1:16" ht="15.75" thickBot="1" x14ac:dyDescent="0.3">
      <c r="A99" s="267"/>
      <c r="B99" s="267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64"/>
      <c r="N99" s="79">
        <v>5</v>
      </c>
      <c r="O99" s="79">
        <v>582</v>
      </c>
      <c r="P99" s="80" t="s">
        <v>185</v>
      </c>
    </row>
    <row r="100" spans="1:16" ht="15.75" thickBot="1" x14ac:dyDescent="0.3">
      <c r="A100" s="267"/>
      <c r="B100" s="267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64"/>
      <c r="N100" s="79">
        <v>5</v>
      </c>
      <c r="O100" s="79">
        <v>50</v>
      </c>
      <c r="P100" s="80" t="s">
        <v>186</v>
      </c>
    </row>
    <row r="101" spans="1:16" ht="15.75" thickBot="1" x14ac:dyDescent="0.3">
      <c r="A101" s="267"/>
      <c r="B101" s="267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64"/>
      <c r="N101" s="79">
        <v>5</v>
      </c>
      <c r="O101" s="79">
        <v>52</v>
      </c>
      <c r="P101" s="80" t="s">
        <v>187</v>
      </c>
    </row>
    <row r="102" spans="1:16" ht="15.75" thickBot="1" x14ac:dyDescent="0.3">
      <c r="A102" s="267"/>
      <c r="B102" s="267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64"/>
      <c r="N102" s="79">
        <v>5</v>
      </c>
      <c r="O102" s="79">
        <v>53</v>
      </c>
      <c r="P102" s="80" t="s">
        <v>188</v>
      </c>
    </row>
    <row r="103" spans="1:16" ht="15.75" thickBot="1" x14ac:dyDescent="0.3">
      <c r="A103" s="267"/>
      <c r="B103" s="267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64"/>
      <c r="N103" s="82">
        <v>5</v>
      </c>
      <c r="O103" s="82">
        <v>54</v>
      </c>
      <c r="P103" s="83" t="s">
        <v>189</v>
      </c>
    </row>
    <row r="104" spans="1:16" ht="15.75" thickBot="1" x14ac:dyDescent="0.3">
      <c r="A104" s="267"/>
      <c r="B104" s="267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64"/>
      <c r="N104" s="76">
        <v>5</v>
      </c>
      <c r="O104" s="76">
        <v>55</v>
      </c>
      <c r="P104" s="77" t="s">
        <v>190</v>
      </c>
    </row>
    <row r="105" spans="1:16" ht="15.75" thickBot="1" x14ac:dyDescent="0.3">
      <c r="A105" s="267"/>
      <c r="B105" s="267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64"/>
      <c r="N105" s="79">
        <v>5</v>
      </c>
      <c r="O105" s="79">
        <v>57</v>
      </c>
      <c r="P105" s="80" t="s">
        <v>191</v>
      </c>
    </row>
    <row r="106" spans="1:16" ht="15.75" thickBot="1" x14ac:dyDescent="0.3">
      <c r="A106" s="272"/>
      <c r="B106" s="272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64"/>
      <c r="N106" s="79">
        <v>5</v>
      </c>
      <c r="O106" s="79">
        <v>59</v>
      </c>
      <c r="P106" s="80" t="s">
        <v>192</v>
      </c>
    </row>
    <row r="107" spans="1:16" ht="15.75" thickBot="1" x14ac:dyDescent="0.3">
      <c r="A107" s="267"/>
      <c r="B107" s="267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64"/>
      <c r="N107" s="79">
        <v>5</v>
      </c>
      <c r="O107" s="79">
        <v>517</v>
      </c>
      <c r="P107" s="80" t="s">
        <v>193</v>
      </c>
    </row>
    <row r="108" spans="1:16" ht="15.75" thickBot="1" x14ac:dyDescent="0.3">
      <c r="A108" s="267"/>
      <c r="B108" s="267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64"/>
      <c r="N108" s="79">
        <v>5</v>
      </c>
      <c r="O108" s="79">
        <v>561</v>
      </c>
      <c r="P108" s="80" t="s">
        <v>194</v>
      </c>
    </row>
    <row r="109" spans="1:16" ht="15.75" thickBot="1" x14ac:dyDescent="0.3">
      <c r="A109" s="272"/>
      <c r="B109" s="272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64"/>
      <c r="N109" s="79">
        <v>5</v>
      </c>
      <c r="O109" s="79">
        <v>568</v>
      </c>
      <c r="P109" s="80" t="s">
        <v>195</v>
      </c>
    </row>
    <row r="110" spans="1:16" ht="15.75" thickBot="1" x14ac:dyDescent="0.3">
      <c r="A110" s="267"/>
      <c r="B110" s="267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64"/>
      <c r="N110" s="79">
        <v>5</v>
      </c>
      <c r="O110" s="79">
        <v>51</v>
      </c>
      <c r="P110" s="80" t="s">
        <v>196</v>
      </c>
    </row>
    <row r="111" spans="1:16" ht="15.75" thickBot="1" x14ac:dyDescent="0.3">
      <c r="A111" s="267"/>
      <c r="B111" s="267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64"/>
      <c r="N111" s="79">
        <v>5</v>
      </c>
      <c r="O111" s="79">
        <v>58</v>
      </c>
      <c r="P111" s="80" t="s">
        <v>197</v>
      </c>
    </row>
    <row r="112" spans="1:16" ht="15.75" thickBot="1" x14ac:dyDescent="0.3">
      <c r="A112" s="275"/>
      <c r="B112" s="27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64"/>
      <c r="N112" s="79">
        <v>5</v>
      </c>
      <c r="O112" s="79">
        <v>505</v>
      </c>
      <c r="P112" s="80" t="s">
        <v>198</v>
      </c>
    </row>
    <row r="113" spans="1:16" ht="15.75" thickBot="1" x14ac:dyDescent="0.3">
      <c r="A113" s="275"/>
      <c r="B113" s="27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64"/>
      <c r="N113" s="79">
        <v>5</v>
      </c>
      <c r="O113" s="79">
        <v>506</v>
      </c>
      <c r="P113" s="80" t="s">
        <v>199</v>
      </c>
    </row>
    <row r="114" spans="1:16" ht="15.75" thickBot="1" x14ac:dyDescent="0.3">
      <c r="A114" s="267"/>
      <c r="B114" s="267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64"/>
      <c r="N114" s="79">
        <v>5</v>
      </c>
      <c r="O114" s="79">
        <v>510</v>
      </c>
      <c r="P114" s="80" t="s">
        <v>200</v>
      </c>
    </row>
    <row r="115" spans="1:16" ht="15.75" thickBot="1" x14ac:dyDescent="0.3">
      <c r="A115" s="267"/>
      <c r="B115" s="267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64"/>
      <c r="N115" s="78">
        <v>5</v>
      </c>
      <c r="O115" s="79">
        <v>511</v>
      </c>
      <c r="P115" s="80" t="s">
        <v>201</v>
      </c>
    </row>
    <row r="116" spans="1:16" ht="15.75" thickBot="1" x14ac:dyDescent="0.3">
      <c r="A116" s="267"/>
      <c r="B116" s="267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64"/>
      <c r="N116" s="78">
        <v>5</v>
      </c>
      <c r="O116" s="79">
        <v>518</v>
      </c>
      <c r="P116" s="80" t="s">
        <v>202</v>
      </c>
    </row>
    <row r="117" spans="1:16" ht="15.75" thickBot="1" x14ac:dyDescent="0.3">
      <c r="A117" s="267"/>
      <c r="B117" s="267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64"/>
      <c r="N117" s="78">
        <v>5</v>
      </c>
      <c r="O117" s="79">
        <v>518</v>
      </c>
      <c r="P117" s="80" t="s">
        <v>203</v>
      </c>
    </row>
    <row r="118" spans="1:16" ht="15.75" thickBot="1" x14ac:dyDescent="0.3">
      <c r="A118" s="275"/>
      <c r="B118" s="275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64"/>
      <c r="N118" s="78">
        <v>5</v>
      </c>
      <c r="O118" s="79">
        <v>518</v>
      </c>
      <c r="P118" s="80" t="s">
        <v>204</v>
      </c>
    </row>
    <row r="119" spans="1:16" ht="15.75" thickBot="1" x14ac:dyDescent="0.3">
      <c r="A119" s="267"/>
      <c r="B119" s="267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64"/>
      <c r="N119" s="78">
        <v>5</v>
      </c>
      <c r="O119" s="79">
        <v>518</v>
      </c>
      <c r="P119" s="80" t="s">
        <v>205</v>
      </c>
    </row>
    <row r="120" spans="1:16" ht="15.75" thickBot="1" x14ac:dyDescent="0.3">
      <c r="A120" s="267"/>
      <c r="B120" s="267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64"/>
      <c r="N120" s="78">
        <v>5</v>
      </c>
      <c r="O120" s="79">
        <v>518</v>
      </c>
      <c r="P120" s="80" t="s">
        <v>206</v>
      </c>
    </row>
    <row r="121" spans="1:16" ht="15.75" thickBot="1" x14ac:dyDescent="0.3">
      <c r="A121" s="267"/>
      <c r="B121" s="267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64"/>
      <c r="N121" s="78">
        <v>5</v>
      </c>
      <c r="O121" s="79">
        <v>535</v>
      </c>
      <c r="P121" s="80" t="s">
        <v>207</v>
      </c>
    </row>
    <row r="122" spans="1:16" ht="15.75" thickBot="1" x14ac:dyDescent="0.3">
      <c r="A122" s="267"/>
      <c r="B122" s="267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64"/>
      <c r="N122" s="78">
        <v>5</v>
      </c>
      <c r="O122" s="79">
        <v>535</v>
      </c>
      <c r="P122" s="80" t="s">
        <v>208</v>
      </c>
    </row>
    <row r="123" spans="1:16" ht="15.75" thickBot="1" x14ac:dyDescent="0.3">
      <c r="A123" s="267"/>
      <c r="B123" s="267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64"/>
      <c r="N123" s="78">
        <v>5</v>
      </c>
      <c r="O123" s="79">
        <v>535</v>
      </c>
      <c r="P123" s="80" t="s">
        <v>209</v>
      </c>
    </row>
    <row r="124" spans="1:16" ht="15.75" thickBot="1" x14ac:dyDescent="0.3">
      <c r="A124" s="272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64"/>
      <c r="N124" s="78">
        <v>5</v>
      </c>
      <c r="O124" s="79">
        <v>579</v>
      </c>
      <c r="P124" s="80" t="s">
        <v>210</v>
      </c>
    </row>
    <row r="125" spans="1:16" ht="15.75" thickBot="1" x14ac:dyDescent="0.3">
      <c r="A125" s="267"/>
      <c r="B125" s="267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64"/>
      <c r="N125" s="78">
        <v>5</v>
      </c>
      <c r="O125" s="79">
        <v>579</v>
      </c>
      <c r="P125" s="80" t="s">
        <v>211</v>
      </c>
    </row>
    <row r="126" spans="1:16" ht="15.75" thickBot="1" x14ac:dyDescent="0.3">
      <c r="A126" s="267"/>
      <c r="B126" s="267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64"/>
      <c r="N126" s="78">
        <v>5</v>
      </c>
      <c r="O126" s="79">
        <v>579</v>
      </c>
      <c r="P126" s="80" t="s">
        <v>212</v>
      </c>
    </row>
    <row r="127" spans="1:16" ht="15.75" thickBot="1" x14ac:dyDescent="0.3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64"/>
      <c r="N127" s="78">
        <v>5</v>
      </c>
      <c r="O127" s="79">
        <v>579</v>
      </c>
      <c r="P127" s="80" t="s">
        <v>213</v>
      </c>
    </row>
    <row r="128" spans="1:16" ht="15.75" thickBot="1" x14ac:dyDescent="0.3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64"/>
      <c r="N128" s="78">
        <v>5</v>
      </c>
      <c r="O128" s="79">
        <v>580</v>
      </c>
      <c r="P128" s="80" t="s">
        <v>214</v>
      </c>
    </row>
    <row r="129" spans="1:16" ht="15.75" thickBot="1" x14ac:dyDescent="0.3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64"/>
      <c r="N129" s="78">
        <v>5</v>
      </c>
      <c r="O129" s="79">
        <v>581</v>
      </c>
      <c r="P129" s="80" t="s">
        <v>215</v>
      </c>
    </row>
    <row r="130" spans="1:16" ht="15.75" thickBot="1" x14ac:dyDescent="0.3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64"/>
      <c r="N130" s="78">
        <v>5</v>
      </c>
      <c r="O130" s="79">
        <v>582</v>
      </c>
      <c r="P130" s="80" t="s">
        <v>216</v>
      </c>
    </row>
    <row r="131" spans="1:16" ht="15.75" thickBot="1" x14ac:dyDescent="0.3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64"/>
      <c r="N131" s="78">
        <v>5</v>
      </c>
      <c r="O131" s="79">
        <v>501</v>
      </c>
      <c r="P131" s="80" t="s">
        <v>217</v>
      </c>
    </row>
    <row r="132" spans="1:16" ht="15.75" thickBot="1" x14ac:dyDescent="0.3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64"/>
      <c r="N132" s="78">
        <v>5</v>
      </c>
      <c r="O132" s="79">
        <v>501</v>
      </c>
      <c r="P132" s="80" t="s">
        <v>218</v>
      </c>
    </row>
    <row r="133" spans="1:16" ht="15.75" thickBot="1" x14ac:dyDescent="0.3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64"/>
      <c r="N133" s="81">
        <v>5</v>
      </c>
      <c r="O133" s="82">
        <v>511</v>
      </c>
      <c r="P133" s="83" t="s">
        <v>219</v>
      </c>
    </row>
    <row r="134" spans="1:16" ht="15.75" thickBot="1" x14ac:dyDescent="0.3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64"/>
      <c r="N134" s="84">
        <v>5</v>
      </c>
      <c r="O134" s="76">
        <v>524</v>
      </c>
      <c r="P134" s="77" t="s">
        <v>220</v>
      </c>
    </row>
    <row r="135" spans="1:16" ht="15.75" thickBot="1" x14ac:dyDescent="0.3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64"/>
      <c r="N135" s="78">
        <v>5</v>
      </c>
      <c r="O135" s="79">
        <v>571</v>
      </c>
      <c r="P135" s="80" t="s">
        <v>221</v>
      </c>
    </row>
    <row r="136" spans="1:16" ht="15.75" thickBot="1" x14ac:dyDescent="0.3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64"/>
      <c r="N136" s="78">
        <v>5</v>
      </c>
      <c r="O136" s="79">
        <v>571</v>
      </c>
      <c r="P136" s="80" t="s">
        <v>222</v>
      </c>
    </row>
    <row r="137" spans="1:16" ht="15.75" thickBot="1" x14ac:dyDescent="0.3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64"/>
      <c r="N137" s="78">
        <v>5</v>
      </c>
      <c r="O137" s="79">
        <v>581</v>
      </c>
      <c r="P137" s="80" t="s">
        <v>223</v>
      </c>
    </row>
    <row r="138" spans="1:16" ht="15.75" thickBot="1" x14ac:dyDescent="0.3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64"/>
      <c r="N138" s="78">
        <v>5</v>
      </c>
      <c r="O138" s="79">
        <v>581</v>
      </c>
      <c r="P138" s="80" t="s">
        <v>224</v>
      </c>
    </row>
    <row r="139" spans="1:16" ht="15.75" thickBot="1" x14ac:dyDescent="0.3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64"/>
      <c r="N139" s="78">
        <v>6</v>
      </c>
      <c r="O139" s="79">
        <v>600</v>
      </c>
      <c r="P139" s="80" t="s">
        <v>225</v>
      </c>
    </row>
    <row r="140" spans="1:16" ht="15.75" thickBot="1" x14ac:dyDescent="0.3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64"/>
      <c r="N140" s="78">
        <v>6</v>
      </c>
      <c r="O140" s="79">
        <v>601</v>
      </c>
      <c r="P140" s="80" t="s">
        <v>226</v>
      </c>
    </row>
    <row r="141" spans="1:16" ht="15.75" thickBot="1" x14ac:dyDescent="0.3">
      <c r="A141" s="267"/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64"/>
      <c r="N141" s="78">
        <v>6</v>
      </c>
      <c r="O141" s="79">
        <v>623</v>
      </c>
      <c r="P141" s="80" t="s">
        <v>227</v>
      </c>
    </row>
    <row r="142" spans="1:16" ht="15.75" thickBot="1" x14ac:dyDescent="0.3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64"/>
      <c r="N142" s="78">
        <v>6</v>
      </c>
      <c r="O142" s="79">
        <v>641</v>
      </c>
      <c r="P142" s="80" t="s">
        <v>228</v>
      </c>
    </row>
    <row r="143" spans="1:16" ht="15.75" thickBot="1" x14ac:dyDescent="0.3">
      <c r="A143" s="267"/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64"/>
      <c r="N143" s="78">
        <v>6</v>
      </c>
      <c r="O143" s="79">
        <v>648</v>
      </c>
      <c r="P143" s="80" t="s">
        <v>229</v>
      </c>
    </row>
    <row r="144" spans="1:16" ht="15.75" thickBot="1" x14ac:dyDescent="0.3">
      <c r="A144" s="267"/>
      <c r="B144" s="267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64"/>
      <c r="N144" s="78">
        <v>6</v>
      </c>
      <c r="O144" s="79">
        <v>657</v>
      </c>
      <c r="P144" s="80" t="s">
        <v>230</v>
      </c>
    </row>
    <row r="145" spans="1:16" ht="15.75" thickBot="1" x14ac:dyDescent="0.3">
      <c r="A145" s="267"/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64"/>
      <c r="N145" s="78">
        <v>6</v>
      </c>
      <c r="O145" s="79">
        <v>660</v>
      </c>
      <c r="P145" s="80" t="s">
        <v>231</v>
      </c>
    </row>
    <row r="146" spans="1:16" ht="15.75" thickBot="1" x14ac:dyDescent="0.3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64"/>
      <c r="N146" s="78">
        <v>6</v>
      </c>
      <c r="O146" s="79">
        <v>6</v>
      </c>
      <c r="P146" s="80" t="s">
        <v>232</v>
      </c>
    </row>
    <row r="147" spans="1:16" ht="15.75" thickBot="1" x14ac:dyDescent="0.3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64"/>
      <c r="N147" s="78">
        <v>6</v>
      </c>
      <c r="O147" s="79">
        <v>61</v>
      </c>
      <c r="P147" s="80" t="s">
        <v>233</v>
      </c>
    </row>
    <row r="148" spans="1:16" ht="23.25" thickBot="1" x14ac:dyDescent="0.3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64"/>
      <c r="N148" s="78">
        <v>6</v>
      </c>
      <c r="O148" s="79">
        <v>641</v>
      </c>
      <c r="P148" s="80" t="s">
        <v>234</v>
      </c>
    </row>
    <row r="149" spans="1:16" ht="15.75" thickBot="1" x14ac:dyDescent="0.3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64"/>
      <c r="N149" s="78">
        <v>6</v>
      </c>
      <c r="O149" s="79">
        <v>662</v>
      </c>
      <c r="P149" s="80" t="s">
        <v>235</v>
      </c>
    </row>
    <row r="150" spans="1:16" ht="15.75" thickBot="1" x14ac:dyDescent="0.3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64"/>
      <c r="N150" s="78">
        <v>6</v>
      </c>
      <c r="O150" s="79">
        <v>681</v>
      </c>
      <c r="P150" s="80" t="s">
        <v>236</v>
      </c>
    </row>
    <row r="151" spans="1:16" ht="15.75" thickBot="1" x14ac:dyDescent="0.3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64"/>
      <c r="N151" s="85">
        <v>6</v>
      </c>
      <c r="O151" s="86">
        <v>629</v>
      </c>
      <c r="P151" s="87" t="s">
        <v>237</v>
      </c>
    </row>
    <row r="152" spans="1:16" ht="15.75" thickBot="1" x14ac:dyDescent="0.3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64"/>
      <c r="N152" s="78">
        <v>6</v>
      </c>
      <c r="O152" s="79">
        <v>633</v>
      </c>
      <c r="P152" s="80" t="s">
        <v>238</v>
      </c>
    </row>
    <row r="153" spans="1:16" ht="15.75" thickBot="1" x14ac:dyDescent="0.3">
      <c r="A153" s="276"/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N153" s="78">
        <v>6</v>
      </c>
      <c r="O153" s="79">
        <v>634</v>
      </c>
      <c r="P153" s="80" t="s">
        <v>239</v>
      </c>
    </row>
    <row r="154" spans="1:16" ht="15.75" thickBot="1" x14ac:dyDescent="0.3">
      <c r="A154" s="276"/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N154" s="78">
        <v>6</v>
      </c>
      <c r="O154" s="79">
        <v>644</v>
      </c>
      <c r="P154" s="80" t="s">
        <v>240</v>
      </c>
    </row>
    <row r="155" spans="1:16" ht="15.75" thickBot="1" x14ac:dyDescent="0.3">
      <c r="A155" s="276"/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N155" s="78">
        <v>6</v>
      </c>
      <c r="O155" s="79">
        <v>662</v>
      </c>
      <c r="P155" s="80" t="s">
        <v>241</v>
      </c>
    </row>
    <row r="156" spans="1:16" ht="15.75" thickBot="1" x14ac:dyDescent="0.3">
      <c r="A156" s="276"/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N156" s="78">
        <v>6</v>
      </c>
      <c r="O156" s="79">
        <v>664</v>
      </c>
      <c r="P156" s="80" t="s">
        <v>242</v>
      </c>
    </row>
    <row r="157" spans="1:16" ht="15.75" thickBot="1" x14ac:dyDescent="0.3">
      <c r="A157" s="276"/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N157" s="85">
        <v>6</v>
      </c>
      <c r="O157" s="86">
        <v>669</v>
      </c>
      <c r="P157" s="87" t="s">
        <v>243</v>
      </c>
    </row>
    <row r="158" spans="1:16" ht="15.75" thickBot="1" x14ac:dyDescent="0.3">
      <c r="A158" s="276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N158" s="78">
        <v>6</v>
      </c>
      <c r="O158" s="79">
        <v>644</v>
      </c>
      <c r="P158" s="80" t="s">
        <v>244</v>
      </c>
    </row>
    <row r="159" spans="1:16" ht="15.75" thickBot="1" x14ac:dyDescent="0.3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N159" s="78">
        <v>7</v>
      </c>
      <c r="O159" s="79">
        <v>70</v>
      </c>
      <c r="P159" s="80" t="s">
        <v>245</v>
      </c>
    </row>
    <row r="160" spans="1:16" ht="15.75" thickBot="1" x14ac:dyDescent="0.3">
      <c r="A160" s="276"/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N160" s="78">
        <v>7</v>
      </c>
      <c r="O160" s="79">
        <v>71</v>
      </c>
      <c r="P160" s="80" t="s">
        <v>246</v>
      </c>
    </row>
    <row r="161" spans="1:16" ht="15.75" thickBot="1" x14ac:dyDescent="0.3">
      <c r="A161" s="276"/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N161" s="78">
        <v>7</v>
      </c>
      <c r="O161" s="79">
        <v>72</v>
      </c>
      <c r="P161" s="80" t="s">
        <v>247</v>
      </c>
    </row>
    <row r="162" spans="1:16" ht="15.75" thickBot="1" x14ac:dyDescent="0.3">
      <c r="A162" s="276"/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N162" s="78">
        <v>7</v>
      </c>
      <c r="O162" s="79">
        <v>73</v>
      </c>
      <c r="P162" s="80" t="s">
        <v>248</v>
      </c>
    </row>
    <row r="163" spans="1:16" ht="15.75" thickBot="1" x14ac:dyDescent="0.3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N163" s="81">
        <v>7</v>
      </c>
      <c r="O163" s="82">
        <v>77</v>
      </c>
      <c r="P163" s="83" t="s">
        <v>249</v>
      </c>
    </row>
    <row r="164" spans="1:16" ht="15.75" thickBot="1" x14ac:dyDescent="0.3">
      <c r="A164" s="276"/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N164" s="84">
        <v>7</v>
      </c>
      <c r="O164" s="76">
        <v>76</v>
      </c>
      <c r="P164" s="77" t="s">
        <v>250</v>
      </c>
    </row>
    <row r="165" spans="1:16" ht="15.75" thickBot="1" x14ac:dyDescent="0.3">
      <c r="A165" s="276"/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N165" s="78">
        <v>7</v>
      </c>
      <c r="O165" s="79">
        <v>700</v>
      </c>
      <c r="P165" s="80" t="s">
        <v>251</v>
      </c>
    </row>
    <row r="166" spans="1:16" ht="15.75" thickBot="1" x14ac:dyDescent="0.3">
      <c r="A166" s="276"/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N166" s="78">
        <v>7</v>
      </c>
      <c r="O166" s="79">
        <v>710</v>
      </c>
      <c r="P166" s="80" t="s">
        <v>252</v>
      </c>
    </row>
    <row r="167" spans="1:16" ht="15.75" thickBot="1" x14ac:dyDescent="0.3">
      <c r="A167" s="276"/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N167" s="78">
        <v>7</v>
      </c>
      <c r="O167" s="79">
        <v>710</v>
      </c>
      <c r="P167" s="80" t="s">
        <v>253</v>
      </c>
    </row>
    <row r="168" spans="1:16" ht="15.75" thickBot="1" x14ac:dyDescent="0.3">
      <c r="A168" s="27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N168" s="78">
        <v>7</v>
      </c>
      <c r="O168" s="79">
        <v>710</v>
      </c>
      <c r="P168" s="80" t="s">
        <v>254</v>
      </c>
    </row>
    <row r="169" spans="1:16" ht="15.75" thickBot="1" x14ac:dyDescent="0.3">
      <c r="A169" s="276"/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N169" s="78">
        <v>7</v>
      </c>
      <c r="O169" s="79">
        <v>743</v>
      </c>
      <c r="P169" s="80" t="s">
        <v>255</v>
      </c>
    </row>
    <row r="170" spans="1:16" ht="15.75" thickBot="1" x14ac:dyDescent="0.3">
      <c r="A170" s="276"/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N170" s="78">
        <v>7</v>
      </c>
      <c r="O170" s="79">
        <v>745</v>
      </c>
      <c r="P170" s="80" t="s">
        <v>256</v>
      </c>
    </row>
    <row r="171" spans="1:16" ht="15.75" thickBot="1" x14ac:dyDescent="0.3">
      <c r="A171" s="276"/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N171" s="78">
        <v>7</v>
      </c>
      <c r="O171" s="79">
        <v>746</v>
      </c>
      <c r="P171" s="80" t="s">
        <v>257</v>
      </c>
    </row>
    <row r="172" spans="1:16" ht="15.75" thickBot="1" x14ac:dyDescent="0.3">
      <c r="A172" s="276"/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N172" s="78">
        <v>7</v>
      </c>
      <c r="O172" s="79">
        <v>747</v>
      </c>
      <c r="P172" s="80" t="s">
        <v>258</v>
      </c>
    </row>
    <row r="173" spans="1:16" ht="15.75" thickBot="1" x14ac:dyDescent="0.3">
      <c r="A173" s="276"/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N173" s="78">
        <v>7</v>
      </c>
      <c r="O173" s="79">
        <v>748</v>
      </c>
      <c r="P173" s="80" t="s">
        <v>259</v>
      </c>
    </row>
    <row r="174" spans="1:16" ht="15.75" thickBot="1" x14ac:dyDescent="0.3">
      <c r="A174" s="276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N174" s="78">
        <v>7</v>
      </c>
      <c r="O174" s="79">
        <v>770</v>
      </c>
      <c r="P174" s="80" t="s">
        <v>260</v>
      </c>
    </row>
    <row r="175" spans="1:16" ht="15.75" thickBot="1" x14ac:dyDescent="0.3">
      <c r="A175" s="276"/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N175" s="78">
        <v>7</v>
      </c>
      <c r="O175" s="79">
        <v>773</v>
      </c>
      <c r="P175" s="80" t="s">
        <v>261</v>
      </c>
    </row>
    <row r="176" spans="1:16" ht="15.75" thickBot="1" x14ac:dyDescent="0.3">
      <c r="A176" s="276"/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N176" s="78">
        <v>7</v>
      </c>
      <c r="O176" s="79">
        <v>780</v>
      </c>
      <c r="P176" s="80" t="s">
        <v>262</v>
      </c>
    </row>
    <row r="177" spans="1:16" ht="15.75" thickBot="1" x14ac:dyDescent="0.3">
      <c r="A177" s="276"/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N177" s="78">
        <v>7</v>
      </c>
      <c r="O177" s="79">
        <v>781</v>
      </c>
      <c r="P177" s="80" t="s">
        <v>263</v>
      </c>
    </row>
    <row r="178" spans="1:16" ht="15.75" thickBot="1" x14ac:dyDescent="0.3">
      <c r="A178" s="276"/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N178" s="78">
        <v>7</v>
      </c>
      <c r="O178" s="79">
        <v>79</v>
      </c>
      <c r="P178" s="80" t="s">
        <v>264</v>
      </c>
    </row>
    <row r="179" spans="1:16" ht="15.75" thickBot="1" x14ac:dyDescent="0.3">
      <c r="A179" s="276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N179" s="78">
        <v>7</v>
      </c>
      <c r="O179" s="79">
        <v>745</v>
      </c>
      <c r="P179" s="80" t="s">
        <v>265</v>
      </c>
    </row>
    <row r="180" spans="1:16" ht="15.75" thickBot="1" x14ac:dyDescent="0.3">
      <c r="A180" s="276"/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N180" s="78">
        <v>7</v>
      </c>
      <c r="O180" s="79">
        <v>783</v>
      </c>
      <c r="P180" s="80" t="s">
        <v>266</v>
      </c>
    </row>
    <row r="181" spans="1:16" ht="15.75" thickBot="1" x14ac:dyDescent="0.3">
      <c r="A181" s="276"/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N181" s="78">
        <v>7</v>
      </c>
      <c r="O181" s="79">
        <v>788</v>
      </c>
      <c r="P181" s="80" t="s">
        <v>267</v>
      </c>
    </row>
    <row r="182" spans="1:16" ht="15.75" thickBot="1" x14ac:dyDescent="0.3">
      <c r="A182" s="276"/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N182" s="78">
        <v>7</v>
      </c>
      <c r="O182" s="79">
        <v>740</v>
      </c>
      <c r="P182" s="80" t="s">
        <v>268</v>
      </c>
    </row>
    <row r="183" spans="1:16" ht="15.75" thickBot="1" x14ac:dyDescent="0.3">
      <c r="A183" s="276"/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N183" s="85">
        <v>7</v>
      </c>
      <c r="O183" s="86">
        <v>741</v>
      </c>
      <c r="P183" s="87" t="s">
        <v>269</v>
      </c>
    </row>
    <row r="184" spans="1:16" ht="15.75" thickBot="1" x14ac:dyDescent="0.3">
      <c r="A184" s="276"/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N184" s="85">
        <v>7</v>
      </c>
      <c r="O184" s="86">
        <v>742</v>
      </c>
      <c r="P184" s="87" t="s">
        <v>270</v>
      </c>
    </row>
    <row r="185" spans="1:16" ht="15.75" thickBot="1" x14ac:dyDescent="0.3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N185" s="78">
        <v>7</v>
      </c>
      <c r="O185" s="79">
        <v>744</v>
      </c>
      <c r="P185" s="80" t="s">
        <v>271</v>
      </c>
    </row>
    <row r="186" spans="1:16" ht="15.75" thickBot="1" x14ac:dyDescent="0.3">
      <c r="A186" s="276"/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N186" s="78">
        <v>7</v>
      </c>
      <c r="O186" s="79">
        <v>782</v>
      </c>
      <c r="P186" s="80" t="s">
        <v>272</v>
      </c>
    </row>
    <row r="187" spans="1:16" ht="15.75" thickBot="1" x14ac:dyDescent="0.3">
      <c r="A187" s="276"/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N187" s="78">
        <v>8</v>
      </c>
      <c r="O187" s="79">
        <v>805</v>
      </c>
      <c r="P187" s="80" t="s">
        <v>273</v>
      </c>
    </row>
    <row r="188" spans="1:16" ht="15.75" thickBot="1" x14ac:dyDescent="0.3">
      <c r="N188" s="85">
        <v>8</v>
      </c>
      <c r="O188" s="86">
        <v>806</v>
      </c>
      <c r="P188" s="87" t="s">
        <v>274</v>
      </c>
    </row>
    <row r="189" spans="1:16" ht="15.75" thickBot="1" x14ac:dyDescent="0.3">
      <c r="N189" s="78">
        <v>8</v>
      </c>
      <c r="O189" s="79">
        <v>803</v>
      </c>
      <c r="P189" s="80" t="s">
        <v>275</v>
      </c>
    </row>
    <row r="190" spans="1:16" ht="15.75" thickBot="1" x14ac:dyDescent="0.3">
      <c r="N190" s="78">
        <v>8</v>
      </c>
      <c r="O190" s="79">
        <v>803</v>
      </c>
      <c r="P190" s="80" t="s">
        <v>276</v>
      </c>
    </row>
    <row r="191" spans="1:16" ht="15.75" thickBot="1" x14ac:dyDescent="0.3">
      <c r="N191" s="85">
        <v>8</v>
      </c>
      <c r="O191" s="86">
        <v>8</v>
      </c>
      <c r="P191" s="87" t="s">
        <v>277</v>
      </c>
    </row>
    <row r="192" spans="1:16" ht="15.75" thickBot="1" x14ac:dyDescent="0.3">
      <c r="N192" s="78">
        <v>8</v>
      </c>
      <c r="O192" s="79">
        <v>801</v>
      </c>
      <c r="P192" s="80" t="s">
        <v>278</v>
      </c>
    </row>
    <row r="193" spans="14:16" ht="15.75" thickBot="1" x14ac:dyDescent="0.3">
      <c r="N193" s="81">
        <v>8</v>
      </c>
      <c r="O193" s="82">
        <v>802</v>
      </c>
      <c r="P193" s="83" t="s">
        <v>279</v>
      </c>
    </row>
  </sheetData>
  <sheetProtection sheet="1" objects="1" scenarios="1"/>
  <mergeCells count="5">
    <mergeCell ref="AE1:AM1"/>
    <mergeCell ref="D30:L30"/>
    <mergeCell ref="A26:B26"/>
    <mergeCell ref="A31:B31"/>
    <mergeCell ref="H1:L2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6"/>
  <sheetViews>
    <sheetView showGridLines="0" zoomScale="89" zoomScaleNormal="89" zoomScaleSheetLayoutView="112" workbookViewId="0">
      <selection activeCell="Q27" sqref="Q27"/>
    </sheetView>
  </sheetViews>
  <sheetFormatPr defaultColWidth="9.140625" defaultRowHeight="15" outlineLevelRow="1" x14ac:dyDescent="0.25"/>
  <cols>
    <col min="1" max="1" width="40.42578125" style="41" customWidth="1"/>
    <col min="2" max="2" width="9.85546875" style="41" customWidth="1"/>
    <col min="3" max="3" width="11" style="41" bestFit="1" customWidth="1"/>
    <col min="4" max="5" width="11.140625" style="41" customWidth="1"/>
    <col min="6" max="11" width="9.85546875" style="41" hidden="1" customWidth="1"/>
    <col min="12" max="12" width="1.42578125" style="41" customWidth="1"/>
    <col min="13" max="13" width="10.85546875" style="41" customWidth="1"/>
    <col min="14" max="16384" width="9.140625" style="41"/>
  </cols>
  <sheetData>
    <row r="1" spans="1:22" ht="69.75" customHeight="1" x14ac:dyDescent="0.3">
      <c r="A1" s="492" t="s">
        <v>394</v>
      </c>
      <c r="B1" s="492"/>
      <c r="C1" s="492"/>
      <c r="D1" s="492"/>
      <c r="E1" s="492"/>
      <c r="F1" s="701" t="s">
        <v>395</v>
      </c>
      <c r="G1" s="701"/>
      <c r="H1" s="701"/>
      <c r="I1" s="701"/>
      <c r="J1" s="701"/>
      <c r="K1" s="701"/>
      <c r="O1" s="508"/>
    </row>
    <row r="2" spans="1:22" s="64" customFormat="1" ht="30" customHeight="1" x14ac:dyDescent="0.25">
      <c r="A2" s="296" t="s">
        <v>322</v>
      </c>
      <c r="B2" s="297">
        <f>RZiS!D6</f>
        <v>2023</v>
      </c>
      <c r="C2" s="297">
        <f>RZiS!F6</f>
        <v>2024</v>
      </c>
      <c r="D2" s="297">
        <f>RZiS!G6</f>
        <v>2025</v>
      </c>
      <c r="E2" s="297">
        <f>RZiS!H6</f>
        <v>2026</v>
      </c>
      <c r="F2" s="297" t="s">
        <v>15</v>
      </c>
      <c r="G2" s="297" t="s">
        <v>16</v>
      </c>
      <c r="H2" s="297" t="s">
        <v>93</v>
      </c>
      <c r="I2" s="297" t="s">
        <v>94</v>
      </c>
      <c r="J2" s="297" t="s">
        <v>95</v>
      </c>
      <c r="K2" s="297" t="s">
        <v>96</v>
      </c>
      <c r="L2" s="298"/>
      <c r="M2" s="298"/>
      <c r="N2" s="299"/>
    </row>
    <row r="3" spans="1:22" ht="30" customHeight="1" x14ac:dyDescent="0.25">
      <c r="A3" s="300" t="s">
        <v>1</v>
      </c>
      <c r="B3" s="435">
        <f>B4</f>
        <v>0</v>
      </c>
      <c r="C3" s="435">
        <f>C4+C5</f>
        <v>0</v>
      </c>
      <c r="D3" s="435">
        <f t="shared" ref="D3:K3" si="0">D4+D5</f>
        <v>0</v>
      </c>
      <c r="E3" s="435">
        <f t="shared" si="0"/>
        <v>0</v>
      </c>
      <c r="F3" s="435">
        <f t="shared" si="0"/>
        <v>0</v>
      </c>
      <c r="G3" s="435">
        <f t="shared" si="0"/>
        <v>0</v>
      </c>
      <c r="H3" s="435">
        <f t="shared" si="0"/>
        <v>0</v>
      </c>
      <c r="I3" s="435">
        <f t="shared" si="0"/>
        <v>0</v>
      </c>
      <c r="J3" s="435">
        <f t="shared" si="0"/>
        <v>0</v>
      </c>
      <c r="K3" s="435">
        <f t="shared" si="0"/>
        <v>0</v>
      </c>
      <c r="L3" s="299"/>
      <c r="N3" s="301"/>
      <c r="U3" s="64"/>
      <c r="V3" s="64"/>
    </row>
    <row r="4" spans="1:22" ht="30" customHeight="1" x14ac:dyDescent="0.25">
      <c r="A4" s="302" t="s">
        <v>369</v>
      </c>
      <c r="B4" s="437">
        <f>RZiS!D9</f>
        <v>0</v>
      </c>
      <c r="C4" s="312">
        <f>'załącznik nr 1 porównawczy'!C15</f>
        <v>0</v>
      </c>
      <c r="D4" s="312">
        <f>'załącznik nr 1 porównawczy'!D15</f>
        <v>0</v>
      </c>
      <c r="E4" s="312">
        <f>'załącznik nr 1 porównawczy'!E15</f>
        <v>0</v>
      </c>
      <c r="F4" s="443">
        <f t="shared" ref="F4:H4" si="1">E4</f>
        <v>0</v>
      </c>
      <c r="G4" s="443">
        <f t="shared" si="1"/>
        <v>0</v>
      </c>
      <c r="H4" s="443">
        <f t="shared" si="1"/>
        <v>0</v>
      </c>
      <c r="I4" s="312"/>
      <c r="J4" s="312"/>
      <c r="K4" s="312"/>
      <c r="L4" s="321"/>
      <c r="M4" s="321" t="s">
        <v>352</v>
      </c>
      <c r="N4" s="301"/>
      <c r="U4" s="566"/>
      <c r="V4" s="64"/>
    </row>
    <row r="5" spans="1:22" ht="30" customHeight="1" x14ac:dyDescent="0.25">
      <c r="A5" s="302" t="s">
        <v>325</v>
      </c>
      <c r="B5" s="707"/>
      <c r="C5" s="312">
        <f>'załącznik nr 1 porównawczy'!C16</f>
        <v>0</v>
      </c>
      <c r="D5" s="312">
        <f>'załącznik nr 1 porównawczy'!D16</f>
        <v>0</v>
      </c>
      <c r="E5" s="312">
        <f>'załącznik nr 1 porównawczy'!E16</f>
        <v>0</v>
      </c>
      <c r="F5" s="312"/>
      <c r="G5" s="312"/>
      <c r="H5" s="312"/>
      <c r="I5" s="312"/>
      <c r="J5" s="312"/>
      <c r="K5" s="312"/>
      <c r="L5" s="321"/>
      <c r="M5" s="321" t="s">
        <v>390</v>
      </c>
      <c r="N5" s="301"/>
      <c r="U5" s="64"/>
      <c r="V5" s="64"/>
    </row>
    <row r="6" spans="1:22" ht="15.75" hidden="1" customHeight="1" x14ac:dyDescent="0.25">
      <c r="A6" s="431" t="s">
        <v>329</v>
      </c>
      <c r="B6" s="708"/>
      <c r="C6" s="312"/>
      <c r="D6" s="312"/>
      <c r="E6" s="312"/>
      <c r="F6" s="312"/>
      <c r="G6" s="312"/>
      <c r="H6" s="312"/>
      <c r="I6" s="312"/>
      <c r="J6" s="312"/>
      <c r="K6" s="312"/>
      <c r="L6" s="321"/>
      <c r="M6" s="321" t="s">
        <v>352</v>
      </c>
      <c r="N6" s="301"/>
      <c r="U6" s="64"/>
      <c r="V6" s="64"/>
    </row>
    <row r="7" spans="1:22" hidden="1" x14ac:dyDescent="0.25">
      <c r="A7" s="431" t="s">
        <v>330</v>
      </c>
      <c r="B7" s="709"/>
      <c r="C7" s="438"/>
      <c r="D7" s="438"/>
      <c r="E7" s="438"/>
      <c r="F7" s="438"/>
      <c r="G7" s="438"/>
      <c r="H7" s="438"/>
      <c r="I7" s="438"/>
      <c r="J7" s="438"/>
      <c r="K7" s="438"/>
      <c r="L7" s="321"/>
      <c r="M7" s="321" t="s">
        <v>352</v>
      </c>
      <c r="N7" s="301"/>
      <c r="U7" s="64"/>
      <c r="V7" s="64"/>
    </row>
    <row r="8" spans="1:22" ht="30" customHeight="1" x14ac:dyDescent="0.25">
      <c r="A8" s="432" t="s">
        <v>2</v>
      </c>
      <c r="B8" s="436">
        <f>B9</f>
        <v>0</v>
      </c>
      <c r="C8" s="436">
        <f>C9+C12</f>
        <v>0</v>
      </c>
      <c r="D8" s="436">
        <f t="shared" ref="D8:K8" si="2">D9+D12</f>
        <v>0</v>
      </c>
      <c r="E8" s="436">
        <f t="shared" si="2"/>
        <v>0</v>
      </c>
      <c r="F8" s="436">
        <f>F9+F12</f>
        <v>0</v>
      </c>
      <c r="G8" s="436">
        <f t="shared" si="2"/>
        <v>0</v>
      </c>
      <c r="H8" s="436">
        <f t="shared" si="2"/>
        <v>0</v>
      </c>
      <c r="I8" s="436">
        <f t="shared" si="2"/>
        <v>0</v>
      </c>
      <c r="J8" s="436">
        <f t="shared" si="2"/>
        <v>0</v>
      </c>
      <c r="K8" s="436">
        <f t="shared" si="2"/>
        <v>0</v>
      </c>
      <c r="L8" s="321"/>
      <c r="M8" s="321"/>
      <c r="N8" s="301"/>
      <c r="U8" s="64"/>
      <c r="V8" s="64"/>
    </row>
    <row r="9" spans="1:22" ht="30" customHeight="1" x14ac:dyDescent="0.25">
      <c r="A9" s="302" t="s">
        <v>370</v>
      </c>
      <c r="B9" s="437">
        <f>RZiS!D12</f>
        <v>0</v>
      </c>
      <c r="C9" s="312">
        <f>'załącznik nr 1 porównawczy'!C18</f>
        <v>0</v>
      </c>
      <c r="D9" s="312">
        <f>'załącznik nr 1 porównawczy'!D18</f>
        <v>0</v>
      </c>
      <c r="E9" s="312">
        <f>'załącznik nr 1 porównawczy'!E18</f>
        <v>0</v>
      </c>
      <c r="F9" s="443">
        <f t="shared" ref="F9:H9" si="3">E9</f>
        <v>0</v>
      </c>
      <c r="G9" s="443">
        <f t="shared" si="3"/>
        <v>0</v>
      </c>
      <c r="H9" s="443">
        <f t="shared" si="3"/>
        <v>0</v>
      </c>
      <c r="I9" s="312"/>
      <c r="J9" s="312"/>
      <c r="K9" s="312"/>
      <c r="L9" s="321"/>
      <c r="M9" s="321" t="s">
        <v>352</v>
      </c>
      <c r="N9" s="301"/>
      <c r="U9" s="566"/>
      <c r="V9" s="64"/>
    </row>
    <row r="10" spans="1:22" hidden="1" x14ac:dyDescent="0.25">
      <c r="A10" s="303" t="s">
        <v>324</v>
      </c>
      <c r="B10" s="443"/>
      <c r="C10" s="312"/>
      <c r="D10" s="312"/>
      <c r="E10" s="312"/>
      <c r="F10" s="443"/>
      <c r="G10" s="443"/>
      <c r="H10" s="443"/>
      <c r="I10" s="443"/>
      <c r="J10" s="443"/>
      <c r="K10" s="443"/>
      <c r="L10" s="321"/>
      <c r="M10" s="321" t="s">
        <v>352</v>
      </c>
      <c r="N10" s="301"/>
      <c r="U10" s="64"/>
      <c r="V10" s="64"/>
    </row>
    <row r="11" spans="1:22" hidden="1" x14ac:dyDescent="0.25">
      <c r="A11" s="303" t="s">
        <v>3</v>
      </c>
      <c r="B11" s="444"/>
      <c r="C11" s="438"/>
      <c r="D11" s="438"/>
      <c r="E11" s="438"/>
      <c r="F11" s="444"/>
      <c r="G11" s="444"/>
      <c r="H11" s="444"/>
      <c r="I11" s="444"/>
      <c r="J11" s="444"/>
      <c r="K11" s="444"/>
      <c r="L11" s="321"/>
      <c r="M11" s="321" t="s">
        <v>352</v>
      </c>
      <c r="N11" s="301"/>
      <c r="U11" s="64"/>
      <c r="V11" s="64"/>
    </row>
    <row r="12" spans="1:22" ht="30" customHeight="1" x14ac:dyDescent="0.25">
      <c r="A12" s="302" t="s">
        <v>326</v>
      </c>
      <c r="B12" s="707"/>
      <c r="C12" s="312">
        <f>'załącznik nr 1 porównawczy'!C19</f>
        <v>0</v>
      </c>
      <c r="D12" s="312">
        <f>'załącznik nr 1 porównawczy'!D19</f>
        <v>0</v>
      </c>
      <c r="E12" s="312">
        <f>'załącznik nr 1 porównawczy'!E19</f>
        <v>0</v>
      </c>
      <c r="F12" s="312"/>
      <c r="G12" s="312"/>
      <c r="H12" s="312"/>
      <c r="I12" s="312"/>
      <c r="J12" s="312"/>
      <c r="K12" s="312"/>
      <c r="L12" s="321"/>
      <c r="M12" s="321" t="s">
        <v>390</v>
      </c>
      <c r="N12" s="301"/>
      <c r="U12" s="64"/>
      <c r="V12" s="64"/>
    </row>
    <row r="13" spans="1:22" hidden="1" x14ac:dyDescent="0.25">
      <c r="A13" s="431" t="s">
        <v>324</v>
      </c>
      <c r="B13" s="708"/>
      <c r="C13" s="312"/>
      <c r="D13" s="312"/>
      <c r="E13" s="312"/>
      <c r="F13" s="312"/>
      <c r="G13" s="312"/>
      <c r="H13" s="312"/>
      <c r="I13" s="312"/>
      <c r="J13" s="312"/>
      <c r="K13" s="312"/>
      <c r="L13" s="321"/>
      <c r="M13" s="434" t="s">
        <v>373</v>
      </c>
      <c r="N13" s="301"/>
      <c r="U13" s="64"/>
      <c r="V13" s="64"/>
    </row>
    <row r="14" spans="1:22" hidden="1" x14ac:dyDescent="0.25">
      <c r="A14" s="431" t="s">
        <v>371</v>
      </c>
      <c r="B14" s="709"/>
      <c r="C14" s="438"/>
      <c r="D14" s="438"/>
      <c r="E14" s="438"/>
      <c r="F14" s="438"/>
      <c r="G14" s="438"/>
      <c r="H14" s="438"/>
      <c r="I14" s="438"/>
      <c r="J14" s="438"/>
      <c r="K14" s="438"/>
      <c r="L14" s="321"/>
      <c r="M14" s="321" t="s">
        <v>374</v>
      </c>
      <c r="N14" s="301"/>
      <c r="U14" s="64"/>
      <c r="V14" s="64"/>
    </row>
    <row r="15" spans="1:22" ht="30" customHeight="1" x14ac:dyDescent="0.25">
      <c r="A15" s="442" t="s">
        <v>4</v>
      </c>
      <c r="B15" s="441">
        <f>RZiS!D22</f>
        <v>0</v>
      </c>
      <c r="C15" s="445">
        <f>C16+C17</f>
        <v>0</v>
      </c>
      <c r="D15" s="445">
        <f t="shared" ref="D15:K15" si="4">D16+D17</f>
        <v>0</v>
      </c>
      <c r="E15" s="445">
        <f t="shared" si="4"/>
        <v>0</v>
      </c>
      <c r="F15" s="445">
        <f>F16+F17</f>
        <v>0</v>
      </c>
      <c r="G15" s="445">
        <f t="shared" si="4"/>
        <v>0</v>
      </c>
      <c r="H15" s="445">
        <f t="shared" si="4"/>
        <v>0</v>
      </c>
      <c r="I15" s="445">
        <f t="shared" si="4"/>
        <v>0</v>
      </c>
      <c r="J15" s="445">
        <f t="shared" si="4"/>
        <v>0</v>
      </c>
      <c r="K15" s="445">
        <f t="shared" si="4"/>
        <v>0</v>
      </c>
      <c r="L15" s="321"/>
      <c r="M15" s="434"/>
      <c r="N15" s="301"/>
      <c r="U15" s="64"/>
      <c r="V15" s="64"/>
    </row>
    <row r="16" spans="1:22" ht="30" customHeight="1" x14ac:dyDescent="0.25">
      <c r="A16" s="433" t="s">
        <v>396</v>
      </c>
      <c r="B16" s="446">
        <f>RZiS!D22</f>
        <v>0</v>
      </c>
      <c r="C16" s="312">
        <f>'załącznik nr 1 porównawczy'!C25</f>
        <v>0</v>
      </c>
      <c r="D16" s="312">
        <f>'załącznik nr 1 porównawczy'!D25</f>
        <v>0</v>
      </c>
      <c r="E16" s="312">
        <f>'załącznik nr 1 porównawczy'!E25</f>
        <v>0</v>
      </c>
      <c r="F16" s="501">
        <f t="shared" ref="F16:H16" si="5">E16</f>
        <v>0</v>
      </c>
      <c r="G16" s="501">
        <f t="shared" si="5"/>
        <v>0</v>
      </c>
      <c r="H16" s="501">
        <f t="shared" si="5"/>
        <v>0</v>
      </c>
      <c r="I16" s="439"/>
      <c r="J16" s="439"/>
      <c r="K16" s="439"/>
      <c r="L16" s="321"/>
      <c r="M16" s="321" t="s">
        <v>375</v>
      </c>
      <c r="N16" s="301"/>
      <c r="U16" s="566"/>
      <c r="V16" s="64"/>
    </row>
    <row r="17" spans="1:28" ht="30" customHeight="1" x14ac:dyDescent="0.25">
      <c r="A17" s="433" t="s">
        <v>372</v>
      </c>
      <c r="B17" s="447"/>
      <c r="C17" s="440">
        <f>'załącznik nr 1 porównawczy'!C26</f>
        <v>0</v>
      </c>
      <c r="D17" s="440">
        <f>'załącznik nr 1 porównawczy'!D26</f>
        <v>0</v>
      </c>
      <c r="E17" s="440">
        <f>'załącznik nr 1 porównawczy'!E26</f>
        <v>0</v>
      </c>
      <c r="F17" s="440"/>
      <c r="G17" s="440"/>
      <c r="H17" s="440"/>
      <c r="I17" s="440"/>
      <c r="J17" s="440"/>
      <c r="K17" s="440"/>
      <c r="L17" s="321"/>
      <c r="M17" s="321" t="s">
        <v>376</v>
      </c>
      <c r="N17" s="301"/>
      <c r="U17" s="64"/>
      <c r="V17" s="64"/>
    </row>
    <row r="18" spans="1:28" hidden="1" x14ac:dyDescent="0.25">
      <c r="A18" s="313" t="s">
        <v>327</v>
      </c>
      <c r="B18" s="304"/>
      <c r="C18" s="448"/>
      <c r="D18" s="448"/>
      <c r="E18" s="448"/>
      <c r="F18" s="448"/>
      <c r="G18" s="448"/>
      <c r="H18" s="448"/>
      <c r="I18" s="448"/>
      <c r="J18" s="448"/>
      <c r="K18" s="448"/>
      <c r="L18" s="321"/>
      <c r="N18" s="301"/>
      <c r="U18" s="64"/>
      <c r="V18" s="64"/>
    </row>
    <row r="19" spans="1:28" hidden="1" x14ac:dyDescent="0.25">
      <c r="A19" s="313" t="s">
        <v>328</v>
      </c>
      <c r="B19" s="305"/>
      <c r="C19" s="449"/>
      <c r="D19" s="449"/>
      <c r="E19" s="449"/>
      <c r="F19" s="449"/>
      <c r="G19" s="449"/>
      <c r="H19" s="449"/>
      <c r="I19" s="449"/>
      <c r="J19" s="449"/>
      <c r="K19" s="449"/>
      <c r="L19" s="301"/>
      <c r="N19" s="301"/>
      <c r="U19" s="64"/>
      <c r="V19" s="64"/>
    </row>
    <row r="20" spans="1:28" hidden="1" x14ac:dyDescent="0.25">
      <c r="A20" s="306"/>
      <c r="B20" s="307"/>
      <c r="C20" s="306"/>
      <c r="D20" s="306"/>
      <c r="E20" s="306"/>
      <c r="F20" s="306"/>
      <c r="G20" s="306"/>
      <c r="H20" s="306"/>
      <c r="I20" s="306"/>
      <c r="J20" s="306"/>
      <c r="K20" s="306"/>
      <c r="L20" s="299"/>
      <c r="N20" s="301"/>
      <c r="U20" s="64"/>
      <c r="V20" s="64"/>
    </row>
    <row r="21" spans="1:28" ht="30.75" hidden="1" customHeight="1" x14ac:dyDescent="0.25">
      <c r="A21" s="702" t="s">
        <v>354</v>
      </c>
      <c r="B21" s="703"/>
      <c r="C21" s="704"/>
      <c r="D21" s="308"/>
      <c r="E21" s="308"/>
      <c r="F21" s="308"/>
      <c r="G21" s="308"/>
      <c r="H21" s="308"/>
      <c r="I21" s="308"/>
      <c r="J21" s="308"/>
      <c r="K21" s="308"/>
      <c r="L21" s="309"/>
      <c r="N21" s="301"/>
      <c r="U21" s="64"/>
      <c r="V21" s="64"/>
    </row>
    <row r="22" spans="1:28" ht="27.75" hidden="1" customHeight="1" x14ac:dyDescent="0.25">
      <c r="A22" s="705" t="s">
        <v>323</v>
      </c>
      <c r="B22" s="706"/>
      <c r="C22" s="450"/>
      <c r="D22" s="324" t="s">
        <v>361</v>
      </c>
      <c r="E22" s="44"/>
      <c r="F22" s="44"/>
      <c r="H22" s="310"/>
      <c r="I22" s="310"/>
      <c r="J22" s="310"/>
      <c r="K22" s="310"/>
      <c r="L22" s="301"/>
      <c r="N22" s="301"/>
      <c r="U22" s="64"/>
      <c r="V22" s="64"/>
    </row>
    <row r="23" spans="1:28" ht="10.5" customHeight="1" x14ac:dyDescent="0.25">
      <c r="A23" s="299"/>
      <c r="B23" s="308"/>
      <c r="C23" s="311"/>
      <c r="D23" s="310"/>
      <c r="E23" s="310"/>
      <c r="F23" s="310"/>
      <c r="G23" s="310"/>
      <c r="H23" s="310"/>
      <c r="I23" s="310"/>
      <c r="J23" s="310"/>
      <c r="K23" s="310"/>
      <c r="L23" s="301"/>
      <c r="N23" s="301"/>
      <c r="U23" s="64"/>
      <c r="V23" s="64"/>
    </row>
    <row r="24" spans="1:28" ht="17.25" customHeight="1" outlineLevel="1" x14ac:dyDescent="0.25">
      <c r="A24" s="296" t="s">
        <v>322</v>
      </c>
      <c r="B24" s="297">
        <f>B2</f>
        <v>2023</v>
      </c>
      <c r="C24" s="297">
        <f t="shared" ref="C24:E24" si="6">C2</f>
        <v>2024</v>
      </c>
      <c r="D24" s="297">
        <f t="shared" si="6"/>
        <v>2025</v>
      </c>
      <c r="E24" s="297">
        <f t="shared" si="6"/>
        <v>2026</v>
      </c>
      <c r="F24" s="297" t="s">
        <v>15</v>
      </c>
      <c r="G24" s="297" t="s">
        <v>16</v>
      </c>
      <c r="H24" s="297" t="s">
        <v>93</v>
      </c>
      <c r="I24" s="297" t="s">
        <v>94</v>
      </c>
      <c r="J24" s="297" t="s">
        <v>95</v>
      </c>
      <c r="K24" s="297" t="s">
        <v>96</v>
      </c>
      <c r="L24" s="301"/>
      <c r="N24" s="301"/>
    </row>
    <row r="25" spans="1:28" ht="38.25" outlineLevel="1" x14ac:dyDescent="0.25">
      <c r="A25" s="138" t="s">
        <v>384</v>
      </c>
      <c r="B25" s="323"/>
      <c r="C25" s="323">
        <f>-bilans!C119</f>
        <v>0</v>
      </c>
      <c r="D25" s="322"/>
      <c r="E25" s="322"/>
      <c r="F25" s="322"/>
      <c r="G25" s="322"/>
      <c r="H25" s="322"/>
      <c r="I25" s="322"/>
      <c r="J25" s="322"/>
      <c r="K25" s="322"/>
      <c r="M25" s="451" t="s">
        <v>377</v>
      </c>
      <c r="N25" s="301"/>
    </row>
    <row r="26" spans="1:28" ht="38.25" outlineLevel="1" x14ac:dyDescent="0.25">
      <c r="A26" s="138" t="s">
        <v>385</v>
      </c>
      <c r="B26" s="323">
        <f>-'załącznik nr 1 porównawczy'!B66</f>
        <v>0</v>
      </c>
      <c r="C26" s="322">
        <f>-'załącznik nr 1 porównawczy'!C66</f>
        <v>0</v>
      </c>
      <c r="D26" s="322">
        <f>-'załącznik nr 1 porównawczy'!D66</f>
        <v>0</v>
      </c>
      <c r="E26" s="322">
        <f>-'załącznik nr 1 porównawczy'!E66</f>
        <v>0</v>
      </c>
      <c r="F26" s="322"/>
      <c r="G26" s="322"/>
      <c r="H26" s="322"/>
      <c r="I26" s="322"/>
      <c r="J26" s="322"/>
      <c r="K26" s="322"/>
      <c r="M26" s="451" t="s">
        <v>378</v>
      </c>
      <c r="N26" s="301"/>
    </row>
    <row r="27" spans="1:28" ht="37.5" customHeight="1" outlineLevel="1" x14ac:dyDescent="0.25">
      <c r="A27" s="139" t="s">
        <v>397</v>
      </c>
      <c r="B27" s="589"/>
      <c r="C27" s="588"/>
      <c r="D27" s="322"/>
      <c r="E27" s="322"/>
      <c r="F27" s="322"/>
      <c r="G27" s="322"/>
      <c r="H27" s="322"/>
      <c r="I27" s="322"/>
      <c r="J27" s="322"/>
      <c r="K27" s="322"/>
      <c r="M27" s="452" t="s">
        <v>379</v>
      </c>
      <c r="N27" s="301"/>
    </row>
    <row r="28" spans="1:28" ht="26.25" outlineLevel="1" x14ac:dyDescent="0.25">
      <c r="A28" s="139" t="s">
        <v>334</v>
      </c>
      <c r="B28" s="589"/>
      <c r="C28" s="322"/>
      <c r="D28" s="322"/>
      <c r="E28" s="322"/>
      <c r="F28" s="322"/>
      <c r="G28" s="322"/>
      <c r="H28" s="322"/>
      <c r="I28" s="322"/>
      <c r="J28" s="322"/>
      <c r="K28" s="322"/>
      <c r="M28" s="451" t="s">
        <v>377</v>
      </c>
      <c r="N28" s="301"/>
    </row>
    <row r="29" spans="1:28" ht="26.25" outlineLevel="1" x14ac:dyDescent="0.25">
      <c r="A29" s="139" t="s">
        <v>333</v>
      </c>
      <c r="B29" s="323">
        <f>RZiS!D26</f>
        <v>0</v>
      </c>
      <c r="C29" s="322"/>
      <c r="D29" s="322"/>
      <c r="E29" s="322"/>
      <c r="F29" s="322"/>
      <c r="G29" s="322"/>
      <c r="H29" s="322"/>
      <c r="I29" s="322"/>
      <c r="J29" s="322"/>
      <c r="K29" s="322"/>
      <c r="M29" s="451" t="s">
        <v>380</v>
      </c>
      <c r="N29" s="301"/>
      <c r="V29" s="700"/>
      <c r="W29" s="700"/>
      <c r="X29" s="700"/>
      <c r="Y29" s="700"/>
      <c r="Z29" s="700"/>
      <c r="AA29" s="700"/>
      <c r="AB29" s="700"/>
    </row>
    <row r="30" spans="1:28" ht="21" hidden="1" customHeight="1" outlineLevel="1" x14ac:dyDescent="0.25">
      <c r="A30" s="139" t="s">
        <v>389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14"/>
      <c r="M30" s="451" t="s">
        <v>377</v>
      </c>
      <c r="N30" s="301"/>
    </row>
    <row r="31" spans="1:28" ht="27.75" customHeight="1" x14ac:dyDescent="0.25">
      <c r="A31" s="139" t="s">
        <v>473</v>
      </c>
      <c r="B31" s="323"/>
      <c r="C31" s="588"/>
      <c r="D31" s="323"/>
      <c r="E31" s="323"/>
      <c r="F31" s="586"/>
      <c r="G31" s="586"/>
      <c r="H31" s="586"/>
      <c r="I31" s="586"/>
      <c r="J31" s="586"/>
      <c r="K31" s="587"/>
      <c r="L31" s="325"/>
      <c r="M31" s="64"/>
      <c r="N31" s="64"/>
    </row>
    <row r="32" spans="1:28" hidden="1" x14ac:dyDescent="0.25">
      <c r="A32" s="299" t="s">
        <v>362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1"/>
      <c r="M32" s="301"/>
      <c r="N32" s="301"/>
    </row>
    <row r="33" spans="1:16" hidden="1" x14ac:dyDescent="0.25">
      <c r="A33" s="299" t="s">
        <v>363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1"/>
      <c r="M33" s="301"/>
      <c r="N33" s="301"/>
    </row>
    <row r="34" spans="1:16" ht="105.75" customHeight="1" x14ac:dyDescent="0.25">
      <c r="A34" s="711"/>
      <c r="B34" s="711"/>
      <c r="C34" s="711"/>
      <c r="D34" s="711"/>
      <c r="E34" s="711"/>
      <c r="F34" s="711"/>
      <c r="G34" s="711"/>
      <c r="H34" s="711"/>
      <c r="I34" s="711"/>
      <c r="J34" s="711"/>
      <c r="K34" s="711"/>
      <c r="L34" s="301"/>
      <c r="M34" s="301"/>
      <c r="N34" s="301"/>
    </row>
    <row r="35" spans="1:16" ht="87.75" customHeight="1" x14ac:dyDescent="0.25">
      <c r="A35" s="710"/>
      <c r="B35" s="710"/>
      <c r="C35" s="710"/>
      <c r="D35" s="710"/>
      <c r="E35" s="710"/>
      <c r="F35" s="710"/>
      <c r="G35" s="710"/>
      <c r="H35" s="710"/>
      <c r="I35" s="710"/>
      <c r="J35" s="710"/>
      <c r="K35" s="710"/>
      <c r="L35" s="301"/>
      <c r="M35" s="301"/>
      <c r="N35" s="301"/>
    </row>
    <row r="36" spans="1:16" x14ac:dyDescent="0.25">
      <c r="A36" s="535"/>
      <c r="B36" s="535"/>
      <c r="C36" s="535"/>
      <c r="D36" s="535"/>
      <c r="E36" s="535"/>
      <c r="F36" s="535"/>
      <c r="G36" s="535"/>
      <c r="H36" s="535"/>
      <c r="I36" s="535"/>
      <c r="J36" s="535"/>
      <c r="K36" s="535"/>
      <c r="L36" s="301"/>
      <c r="M36" s="301"/>
      <c r="N36" s="301"/>
    </row>
    <row r="37" spans="1:16" ht="91.5" customHeight="1" x14ac:dyDescent="0.25">
      <c r="A37" s="711"/>
      <c r="B37" s="711"/>
      <c r="C37" s="711"/>
      <c r="D37" s="711"/>
      <c r="E37" s="711"/>
      <c r="F37" s="711"/>
      <c r="G37" s="711"/>
      <c r="H37" s="711"/>
      <c r="I37" s="711"/>
      <c r="J37" s="711"/>
      <c r="K37" s="711"/>
      <c r="L37" s="301"/>
      <c r="M37" s="301"/>
      <c r="N37" s="301"/>
    </row>
    <row r="38" spans="1:16" ht="89.25" customHeight="1" x14ac:dyDescent="0.25">
      <c r="A38" s="710"/>
      <c r="B38" s="710"/>
      <c r="C38" s="710"/>
      <c r="D38" s="710"/>
      <c r="E38" s="710"/>
      <c r="F38" s="710"/>
      <c r="G38" s="710"/>
      <c r="H38" s="710"/>
      <c r="I38" s="710"/>
      <c r="J38" s="710"/>
      <c r="K38" s="710"/>
      <c r="L38" s="301"/>
      <c r="M38" s="301"/>
      <c r="N38" s="301"/>
    </row>
    <row r="39" spans="1:16" x14ac:dyDescent="0.25">
      <c r="A39" s="536"/>
      <c r="B39" s="64"/>
      <c r="C39" s="64"/>
      <c r="D39" s="64"/>
      <c r="E39" s="64"/>
      <c r="F39" s="57"/>
      <c r="G39" s="64"/>
      <c r="H39" s="64"/>
      <c r="I39" s="64"/>
      <c r="J39" s="64"/>
      <c r="K39" s="64"/>
      <c r="L39" s="301"/>
      <c r="M39" s="301"/>
      <c r="N39" s="301"/>
    </row>
    <row r="40" spans="1:16" ht="109.5" customHeight="1" x14ac:dyDescent="0.25">
      <c r="A40" s="711"/>
      <c r="B40" s="711"/>
      <c r="C40" s="711"/>
      <c r="D40" s="711"/>
      <c r="E40" s="711"/>
      <c r="F40" s="711"/>
      <c r="G40" s="711"/>
      <c r="H40" s="711"/>
      <c r="I40" s="711"/>
      <c r="J40" s="711"/>
      <c r="K40" s="711"/>
      <c r="P40" s="485"/>
    </row>
    <row r="41" spans="1:16" ht="103.5" customHeight="1" x14ac:dyDescent="0.25">
      <c r="A41" s="710"/>
      <c r="B41" s="710"/>
      <c r="C41" s="710"/>
      <c r="D41" s="710"/>
      <c r="E41" s="710"/>
      <c r="F41" s="710"/>
      <c r="G41" s="710"/>
      <c r="H41" s="710"/>
      <c r="I41" s="710"/>
      <c r="J41" s="710"/>
      <c r="K41" s="710"/>
    </row>
    <row r="42" spans="1:16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6" x14ac:dyDescent="0.25">
      <c r="A43" s="537"/>
      <c r="B43" s="64"/>
      <c r="C43" s="538"/>
      <c r="D43" s="539"/>
      <c r="E43" s="539"/>
      <c r="F43" s="539"/>
      <c r="G43" s="538"/>
      <c r="H43" s="64"/>
      <c r="I43" s="539"/>
      <c r="J43" s="539"/>
      <c r="K43" s="539"/>
    </row>
    <row r="44" spans="1:16" x14ac:dyDescent="0.25">
      <c r="A44" s="540"/>
      <c r="B44" s="64"/>
      <c r="C44" s="541"/>
      <c r="D44" s="26"/>
      <c r="E44" s="26"/>
      <c r="F44" s="26"/>
      <c r="G44" s="541"/>
      <c r="H44" s="64"/>
      <c r="I44" s="26"/>
      <c r="J44" s="26"/>
      <c r="K44" s="26"/>
    </row>
    <row r="45" spans="1:16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6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</sheetData>
  <sheetProtection sheet="1" objects="1" scenarios="1"/>
  <mergeCells count="12">
    <mergeCell ref="A41:K41"/>
    <mergeCell ref="A34:K34"/>
    <mergeCell ref="A35:K35"/>
    <mergeCell ref="A37:K37"/>
    <mergeCell ref="A38:K38"/>
    <mergeCell ref="A40:K40"/>
    <mergeCell ref="V29:AB29"/>
    <mergeCell ref="F1:K1"/>
    <mergeCell ref="A21:C21"/>
    <mergeCell ref="A22:B22"/>
    <mergeCell ref="B5:B7"/>
    <mergeCell ref="B12:B14"/>
  </mergeCells>
  <dataValidations count="2">
    <dataValidation type="custom" allowBlank="1" showInputMessage="1" showErrorMessage="1" sqref="B28:K28 D25:K25" xr:uid="{00000000-0002-0000-0500-000000000000}">
      <formula1>B25:K25&lt;0</formula1>
    </dataValidation>
    <dataValidation type="custom" allowBlank="1" showInputMessage="1" showErrorMessage="1" sqref="C26:K26" xr:uid="{00000000-0002-0000-0500-000001000000}">
      <formula1>C26:K26&lt;=0</formula1>
    </dataValidation>
  </dataValidations>
  <pageMargins left="0.70866141732283472" right="0.31496062992125984" top="0.35433070866141736" bottom="0.15748031496062992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zoomScale="89" zoomScaleNormal="89" zoomScaleSheetLayoutView="82" workbookViewId="0">
      <selection activeCell="C14" sqref="C14"/>
    </sheetView>
  </sheetViews>
  <sheetFormatPr defaultColWidth="9.140625" defaultRowHeight="15" x14ac:dyDescent="0.25"/>
  <cols>
    <col min="1" max="1" width="49.42578125" style="41" bestFit="1" customWidth="1"/>
    <col min="2" max="5" width="9.140625" style="41"/>
    <col min="6" max="11" width="0" style="41" hidden="1" customWidth="1"/>
    <col min="12" max="16384" width="9.140625" style="41"/>
  </cols>
  <sheetData>
    <row r="1" spans="1:18" ht="65.25" customHeight="1" x14ac:dyDescent="0.25">
      <c r="A1" s="493" t="s">
        <v>403</v>
      </c>
      <c r="B1" s="493"/>
      <c r="C1" s="493"/>
      <c r="D1" s="493"/>
      <c r="E1" s="700"/>
      <c r="F1" s="700"/>
      <c r="G1" s="700"/>
      <c r="H1" s="700"/>
      <c r="I1" s="701"/>
      <c r="J1" s="701"/>
      <c r="K1" s="701"/>
    </row>
    <row r="2" spans="1:18" x14ac:dyDescent="0.25">
      <c r="A2" s="278" t="s">
        <v>0</v>
      </c>
      <c r="B2" s="279">
        <f>RZiS!D6</f>
        <v>2023</v>
      </c>
      <c r="C2" s="279">
        <f>RZiS!F6</f>
        <v>2024</v>
      </c>
      <c r="D2" s="279">
        <f>RZiS!G6</f>
        <v>2025</v>
      </c>
      <c r="E2" s="279">
        <f>RZiS!H6</f>
        <v>2026</v>
      </c>
      <c r="F2" s="279" t="s">
        <v>15</v>
      </c>
      <c r="G2" s="279" t="s">
        <v>16</v>
      </c>
      <c r="H2" s="279" t="s">
        <v>93</v>
      </c>
      <c r="I2" s="279" t="s">
        <v>94</v>
      </c>
      <c r="J2" s="279" t="s">
        <v>95</v>
      </c>
      <c r="K2" s="280" t="s">
        <v>96</v>
      </c>
    </row>
    <row r="3" spans="1:18" x14ac:dyDescent="0.25">
      <c r="A3" s="633" t="s">
        <v>288</v>
      </c>
      <c r="B3" s="634">
        <f>RZiS!D15</f>
        <v>0</v>
      </c>
      <c r="C3" s="634">
        <f t="shared" ref="C3:K3" si="0">SUM(C6:C8)</f>
        <v>0</v>
      </c>
      <c r="D3" s="634">
        <f t="shared" si="0"/>
        <v>0</v>
      </c>
      <c r="E3" s="634">
        <f t="shared" si="0"/>
        <v>0</v>
      </c>
      <c r="F3" s="281">
        <f t="shared" si="0"/>
        <v>0</v>
      </c>
      <c r="G3" s="281">
        <f>SUM(G6:G8)</f>
        <v>0</v>
      </c>
      <c r="H3" s="281">
        <f t="shared" si="0"/>
        <v>0</v>
      </c>
      <c r="I3" s="281">
        <f t="shared" si="0"/>
        <v>0</v>
      </c>
      <c r="J3" s="281">
        <f t="shared" si="0"/>
        <v>0</v>
      </c>
      <c r="K3" s="281">
        <f t="shared" si="0"/>
        <v>0</v>
      </c>
      <c r="O3" s="64"/>
    </row>
    <row r="4" spans="1:18" hidden="1" x14ac:dyDescent="0.25">
      <c r="A4" s="282"/>
      <c r="B4" s="637"/>
      <c r="C4" s="283"/>
      <c r="D4" s="283"/>
      <c r="E4" s="283"/>
      <c r="F4" s="283"/>
      <c r="G4" s="283"/>
      <c r="H4" s="283"/>
      <c r="I4" s="283"/>
      <c r="J4" s="283"/>
      <c r="K4" s="283"/>
      <c r="O4" s="64"/>
    </row>
    <row r="5" spans="1:18" hidden="1" x14ac:dyDescent="0.25">
      <c r="A5" s="282"/>
      <c r="B5" s="637"/>
      <c r="C5" s="283"/>
      <c r="D5" s="283"/>
      <c r="E5" s="283"/>
      <c r="F5" s="283"/>
      <c r="G5" s="283"/>
      <c r="H5" s="283"/>
      <c r="I5" s="283"/>
      <c r="J5" s="283"/>
      <c r="K5" s="283"/>
      <c r="O5" s="64"/>
    </row>
    <row r="6" spans="1:18" x14ac:dyDescent="0.25">
      <c r="A6" s="287" t="s">
        <v>411</v>
      </c>
      <c r="B6" s="638"/>
      <c r="C6" s="94">
        <f>'załącznik nr 1 porównawczy'!C42</f>
        <v>0</v>
      </c>
      <c r="D6" s="94">
        <f>'załącznik nr 1 porównawczy'!D42</f>
        <v>0</v>
      </c>
      <c r="E6" s="94">
        <f>'załącznik nr 1 porównawczy'!E42</f>
        <v>0</v>
      </c>
      <c r="F6" s="94"/>
      <c r="G6" s="94"/>
      <c r="H6" s="94"/>
      <c r="I6" s="94"/>
      <c r="J6" s="94"/>
      <c r="K6" s="94"/>
      <c r="L6" s="290" t="s">
        <v>391</v>
      </c>
      <c r="M6" s="294"/>
      <c r="N6" s="294"/>
      <c r="O6" s="532"/>
      <c r="P6" s="294"/>
      <c r="Q6" s="294"/>
      <c r="R6" s="295"/>
    </row>
    <row r="7" spans="1:18" x14ac:dyDescent="0.25">
      <c r="A7" s="287" t="s">
        <v>412</v>
      </c>
      <c r="B7" s="638"/>
      <c r="C7" s="94">
        <f>'załącznik nr 1 porównawczy'!C43</f>
        <v>0</v>
      </c>
      <c r="D7" s="94">
        <f>'załącznik nr 1 porównawczy'!D43</f>
        <v>0</v>
      </c>
      <c r="E7" s="94">
        <f>'załącznik nr 1 porównawczy'!E43</f>
        <v>0</v>
      </c>
      <c r="F7" s="94"/>
      <c r="G7" s="94"/>
      <c r="H7" s="94"/>
      <c r="I7" s="94"/>
      <c r="J7" s="94"/>
      <c r="K7" s="94"/>
      <c r="L7" s="290" t="s">
        <v>391</v>
      </c>
      <c r="M7" s="295"/>
      <c r="N7" s="295"/>
      <c r="O7" s="533"/>
      <c r="P7" s="295"/>
      <c r="Q7" s="295"/>
      <c r="R7" s="295"/>
    </row>
    <row r="8" spans="1:18" x14ac:dyDescent="0.25">
      <c r="A8" s="287" t="s">
        <v>426</v>
      </c>
      <c r="B8" s="638"/>
      <c r="C8" s="94">
        <f>'załącznik nr 1 porównawczy'!C44</f>
        <v>0</v>
      </c>
      <c r="D8" s="94">
        <f>'załącznik nr 1 porównawczy'!D44</f>
        <v>0</v>
      </c>
      <c r="E8" s="94">
        <f>'załącznik nr 1 porównawczy'!E44</f>
        <v>0</v>
      </c>
      <c r="F8" s="94"/>
      <c r="G8" s="94"/>
      <c r="H8" s="94"/>
      <c r="I8" s="94"/>
      <c r="J8" s="94"/>
      <c r="K8" s="94"/>
      <c r="L8" s="290" t="s">
        <v>391</v>
      </c>
      <c r="M8" s="295"/>
      <c r="N8" s="295"/>
      <c r="O8" s="533"/>
      <c r="P8" s="295"/>
      <c r="Q8" s="295"/>
      <c r="R8" s="295"/>
    </row>
    <row r="9" spans="1:18" x14ac:dyDescent="0.25">
      <c r="A9" s="633" t="s">
        <v>289</v>
      </c>
      <c r="B9" s="634">
        <f>RZiS!D16</f>
        <v>0</v>
      </c>
      <c r="C9" s="634">
        <f>SUM(C10:C18)</f>
        <v>0</v>
      </c>
      <c r="D9" s="634">
        <f t="shared" ref="D9:E9" si="1">SUM(D10:D18)</f>
        <v>0</v>
      </c>
      <c r="E9" s="634">
        <f t="shared" si="1"/>
        <v>0</v>
      </c>
      <c r="F9" s="281">
        <f t="shared" ref="F9:K9" si="2">SUM(F10:F22)</f>
        <v>0</v>
      </c>
      <c r="G9" s="281">
        <f t="shared" si="2"/>
        <v>0</v>
      </c>
      <c r="H9" s="281">
        <f t="shared" si="2"/>
        <v>0</v>
      </c>
      <c r="I9" s="281">
        <f t="shared" si="2"/>
        <v>0</v>
      </c>
      <c r="J9" s="281">
        <f t="shared" si="2"/>
        <v>0</v>
      </c>
      <c r="K9" s="281">
        <f t="shared" si="2"/>
        <v>0</v>
      </c>
      <c r="L9" s="290"/>
      <c r="M9" s="295"/>
      <c r="N9" s="295"/>
      <c r="O9" s="533"/>
      <c r="P9" s="295"/>
      <c r="Q9" s="295"/>
      <c r="R9" s="295"/>
    </row>
    <row r="10" spans="1:18" x14ac:dyDescent="0.25">
      <c r="A10" s="287" t="s">
        <v>417</v>
      </c>
      <c r="B10" s="638"/>
      <c r="C10" s="94">
        <f>'załącznik nr 1 porównawczy'!C46</f>
        <v>0</v>
      </c>
      <c r="D10" s="94">
        <f>'załącznik nr 1 porównawczy'!D46</f>
        <v>0</v>
      </c>
      <c r="E10" s="94">
        <f>'załącznik nr 1 porównawczy'!E46</f>
        <v>0</v>
      </c>
      <c r="F10" s="94"/>
      <c r="G10" s="94"/>
      <c r="H10" s="94"/>
      <c r="I10" s="94"/>
      <c r="J10" s="94"/>
      <c r="K10" s="94"/>
      <c r="L10" s="290" t="s">
        <v>391</v>
      </c>
      <c r="M10" s="295"/>
      <c r="N10" s="295"/>
      <c r="O10" s="533"/>
      <c r="P10" s="295"/>
      <c r="Q10" s="295"/>
      <c r="R10" s="295"/>
    </row>
    <row r="11" spans="1:18" x14ac:dyDescent="0.25">
      <c r="A11" s="287" t="s">
        <v>418</v>
      </c>
      <c r="B11" s="638"/>
      <c r="C11" s="94">
        <f>'załącznik nr 1 porównawczy'!C47</f>
        <v>0</v>
      </c>
      <c r="D11" s="94">
        <f>'załącznik nr 1 porównawczy'!D47</f>
        <v>0</v>
      </c>
      <c r="E11" s="94">
        <f>'załącznik nr 1 porównawczy'!E47</f>
        <v>0</v>
      </c>
      <c r="F11" s="94"/>
      <c r="G11" s="94"/>
      <c r="H11" s="94"/>
      <c r="I11" s="94"/>
      <c r="J11" s="94"/>
      <c r="K11" s="94"/>
      <c r="L11" s="290" t="s">
        <v>391</v>
      </c>
      <c r="M11" s="295"/>
      <c r="N11" s="295"/>
      <c r="O11" s="533"/>
      <c r="P11" s="295"/>
      <c r="Q11" s="295"/>
      <c r="R11" s="295"/>
    </row>
    <row r="12" spans="1:18" x14ac:dyDescent="0.25">
      <c r="A12" s="287" t="s">
        <v>419</v>
      </c>
      <c r="B12" s="638"/>
      <c r="C12" s="94">
        <f>'załącznik nr 1 porównawczy'!C48</f>
        <v>0</v>
      </c>
      <c r="D12" s="94">
        <f>'załącznik nr 1 porównawczy'!D48</f>
        <v>0</v>
      </c>
      <c r="E12" s="94">
        <f>'załącznik nr 1 porównawczy'!E48</f>
        <v>0</v>
      </c>
      <c r="F12" s="94"/>
      <c r="G12" s="94"/>
      <c r="H12" s="94"/>
      <c r="I12" s="94"/>
      <c r="J12" s="94"/>
      <c r="K12" s="94"/>
      <c r="L12" s="290" t="s">
        <v>391</v>
      </c>
      <c r="M12" s="295"/>
      <c r="N12" s="295"/>
      <c r="O12" s="533"/>
      <c r="P12" s="295"/>
      <c r="Q12" s="295"/>
      <c r="R12" s="295"/>
    </row>
    <row r="13" spans="1:18" x14ac:dyDescent="0.25">
      <c r="A13" s="287" t="s">
        <v>413</v>
      </c>
      <c r="B13" s="638"/>
      <c r="C13" s="94">
        <f>'załącznik nr 1 porównawczy'!C49</f>
        <v>0</v>
      </c>
      <c r="D13" s="94">
        <f>'załącznik nr 1 porównawczy'!D49</f>
        <v>0</v>
      </c>
      <c r="E13" s="94">
        <f>'załącznik nr 1 porównawczy'!E49</f>
        <v>0</v>
      </c>
      <c r="F13" s="94"/>
      <c r="G13" s="94"/>
      <c r="H13" s="94"/>
      <c r="I13" s="94"/>
      <c r="J13" s="94"/>
      <c r="K13" s="94"/>
      <c r="L13" s="290" t="s">
        <v>391</v>
      </c>
      <c r="M13" s="295"/>
      <c r="N13" s="295"/>
      <c r="O13" s="533"/>
      <c r="P13" s="295"/>
      <c r="Q13" s="295"/>
      <c r="R13" s="295"/>
    </row>
    <row r="14" spans="1:18" x14ac:dyDescent="0.25">
      <c r="A14" s="287" t="s">
        <v>414</v>
      </c>
      <c r="B14" s="638"/>
      <c r="C14" s="94">
        <f>'załącznik nr 1 porównawczy'!C50</f>
        <v>0</v>
      </c>
      <c r="D14" s="94">
        <f>'załącznik nr 1 porównawczy'!D50</f>
        <v>0</v>
      </c>
      <c r="E14" s="94">
        <f>'załącznik nr 1 porównawczy'!E50</f>
        <v>0</v>
      </c>
      <c r="F14" s="94"/>
      <c r="G14" s="94"/>
      <c r="H14" s="94"/>
      <c r="I14" s="94"/>
      <c r="J14" s="94"/>
      <c r="K14" s="94"/>
      <c r="L14" s="290" t="s">
        <v>391</v>
      </c>
      <c r="M14" s="295"/>
      <c r="N14" s="295"/>
      <c r="O14" s="533"/>
      <c r="P14" s="295"/>
      <c r="Q14" s="295"/>
      <c r="R14" s="295"/>
    </row>
    <row r="15" spans="1:18" x14ac:dyDescent="0.25">
      <c r="A15" s="287" t="s">
        <v>420</v>
      </c>
      <c r="B15" s="638"/>
      <c r="C15" s="94">
        <f>'załącznik nr 1 porównawczy'!C51</f>
        <v>0</v>
      </c>
      <c r="D15" s="94">
        <f>'załącznik nr 1 porównawczy'!D51</f>
        <v>0</v>
      </c>
      <c r="E15" s="94">
        <f>'załącznik nr 1 porównawczy'!E51</f>
        <v>0</v>
      </c>
      <c r="F15" s="94"/>
      <c r="G15" s="94"/>
      <c r="H15" s="94"/>
      <c r="I15" s="94"/>
      <c r="J15" s="94"/>
      <c r="K15" s="94"/>
      <c r="L15" s="290" t="s">
        <v>391</v>
      </c>
      <c r="M15" s="295"/>
      <c r="N15" s="295"/>
      <c r="O15" s="533"/>
      <c r="P15" s="295"/>
      <c r="Q15" s="295"/>
      <c r="R15" s="295"/>
    </row>
    <row r="16" spans="1:18" x14ac:dyDescent="0.25">
      <c r="A16" s="287" t="s">
        <v>422</v>
      </c>
      <c r="B16" s="638"/>
      <c r="C16" s="94">
        <f>'załącznik nr 1 porównawczy'!C52</f>
        <v>0</v>
      </c>
      <c r="D16" s="94">
        <f>'załącznik nr 1 porównawczy'!D52</f>
        <v>0</v>
      </c>
      <c r="E16" s="94">
        <f>'załącznik nr 1 porównawczy'!E52</f>
        <v>0</v>
      </c>
      <c r="F16" s="94"/>
      <c r="G16" s="94"/>
      <c r="H16" s="94"/>
      <c r="I16" s="94"/>
      <c r="J16" s="94"/>
      <c r="K16" s="94"/>
      <c r="L16" s="290" t="s">
        <v>391</v>
      </c>
      <c r="M16" s="295"/>
      <c r="N16" s="295"/>
      <c r="O16" s="533"/>
      <c r="P16" s="295"/>
      <c r="Q16" s="295"/>
      <c r="R16" s="295"/>
    </row>
    <row r="17" spans="1:18" x14ac:dyDescent="0.25">
      <c r="A17" s="287" t="s">
        <v>421</v>
      </c>
      <c r="B17" s="638"/>
      <c r="C17" s="94">
        <f>'załącznik nr 1 porównawczy'!C53</f>
        <v>0</v>
      </c>
      <c r="D17" s="94">
        <f>'załącznik nr 1 porównawczy'!D53</f>
        <v>0</v>
      </c>
      <c r="E17" s="94">
        <f>'załącznik nr 1 porównawczy'!E53</f>
        <v>0</v>
      </c>
      <c r="F17" s="94"/>
      <c r="G17" s="94"/>
      <c r="H17" s="94"/>
      <c r="I17" s="94"/>
      <c r="J17" s="94"/>
      <c r="K17" s="94"/>
      <c r="L17" s="290" t="s">
        <v>391</v>
      </c>
      <c r="M17" s="295"/>
      <c r="N17" s="295"/>
      <c r="O17" s="533"/>
      <c r="P17" s="295"/>
      <c r="Q17" s="295"/>
      <c r="R17" s="295"/>
    </row>
    <row r="18" spans="1:18" hidden="1" x14ac:dyDescent="0.25">
      <c r="B18" s="638"/>
      <c r="C18" s="94"/>
      <c r="D18" s="94"/>
      <c r="E18" s="94"/>
      <c r="F18" s="94"/>
      <c r="G18" s="94"/>
      <c r="H18" s="94"/>
      <c r="I18" s="94"/>
      <c r="J18" s="94"/>
      <c r="K18" s="94"/>
      <c r="L18" s="290" t="s">
        <v>391</v>
      </c>
      <c r="M18" s="295"/>
      <c r="N18" s="295"/>
      <c r="O18" s="533"/>
      <c r="P18" s="295"/>
      <c r="Q18" s="295"/>
      <c r="R18" s="295"/>
    </row>
    <row r="19" spans="1:18" hidden="1" x14ac:dyDescent="0.25">
      <c r="A19" s="287"/>
      <c r="B19" s="638"/>
      <c r="C19" s="94"/>
      <c r="D19" s="94"/>
      <c r="E19" s="94"/>
      <c r="F19" s="94"/>
      <c r="G19" s="94"/>
      <c r="H19" s="94"/>
      <c r="I19" s="94"/>
      <c r="J19" s="94"/>
      <c r="K19" s="94"/>
      <c r="L19" s="290" t="s">
        <v>391</v>
      </c>
      <c r="M19" s="295"/>
      <c r="N19" s="295"/>
      <c r="O19" s="533"/>
      <c r="P19" s="295"/>
      <c r="Q19" s="295"/>
      <c r="R19" s="295"/>
    </row>
    <row r="20" spans="1:18" hidden="1" x14ac:dyDescent="0.25">
      <c r="A20" s="287"/>
      <c r="B20" s="638"/>
      <c r="C20" s="94"/>
      <c r="D20" s="94"/>
      <c r="E20" s="94"/>
      <c r="F20" s="94"/>
      <c r="G20" s="94"/>
      <c r="H20" s="94"/>
      <c r="I20" s="94"/>
      <c r="J20" s="94"/>
      <c r="K20" s="94"/>
      <c r="L20" s="290" t="s">
        <v>391</v>
      </c>
      <c r="M20" s="295"/>
      <c r="N20" s="295"/>
      <c r="O20" s="533"/>
      <c r="P20" s="295"/>
      <c r="Q20" s="295"/>
      <c r="R20" s="295"/>
    </row>
    <row r="21" spans="1:18" hidden="1" x14ac:dyDescent="0.25">
      <c r="A21" s="287"/>
      <c r="B21" s="638"/>
      <c r="C21" s="94"/>
      <c r="D21" s="94"/>
      <c r="E21" s="94"/>
      <c r="F21" s="94"/>
      <c r="G21" s="94"/>
      <c r="H21" s="94"/>
      <c r="I21" s="94"/>
      <c r="J21" s="94"/>
      <c r="K21" s="94"/>
      <c r="L21" s="290" t="s">
        <v>391</v>
      </c>
      <c r="M21" s="295"/>
      <c r="N21" s="295"/>
      <c r="O21" s="533"/>
      <c r="P21" s="295"/>
      <c r="Q21" s="295"/>
      <c r="R21" s="295"/>
    </row>
    <row r="22" spans="1:18" hidden="1" x14ac:dyDescent="0.25">
      <c r="A22" s="287"/>
      <c r="B22" s="638"/>
      <c r="C22" s="94"/>
      <c r="D22" s="94"/>
      <c r="E22" s="94"/>
      <c r="F22" s="94"/>
      <c r="G22" s="94"/>
      <c r="H22" s="94"/>
      <c r="I22" s="94"/>
      <c r="J22" s="94"/>
      <c r="K22" s="94"/>
      <c r="L22" s="290" t="s">
        <v>391</v>
      </c>
      <c r="M22" s="295"/>
      <c r="N22" s="295"/>
      <c r="O22" s="533"/>
      <c r="P22" s="295"/>
      <c r="Q22" s="295"/>
      <c r="R22" s="295"/>
    </row>
    <row r="23" spans="1:18" x14ac:dyDescent="0.25">
      <c r="A23" s="633" t="s">
        <v>290</v>
      </c>
      <c r="B23" s="634">
        <f>RZiS!D17</f>
        <v>0</v>
      </c>
      <c r="C23" s="634">
        <f t="shared" ref="C23:K23" si="3">SUM(C24:C28)</f>
        <v>0</v>
      </c>
      <c r="D23" s="634">
        <f t="shared" si="3"/>
        <v>0</v>
      </c>
      <c r="E23" s="634">
        <f t="shared" si="3"/>
        <v>0</v>
      </c>
      <c r="F23" s="281">
        <f t="shared" si="3"/>
        <v>0</v>
      </c>
      <c r="G23" s="281">
        <f t="shared" si="3"/>
        <v>0</v>
      </c>
      <c r="H23" s="281">
        <f t="shared" si="3"/>
        <v>0</v>
      </c>
      <c r="I23" s="281">
        <f t="shared" si="3"/>
        <v>0</v>
      </c>
      <c r="J23" s="281">
        <f t="shared" si="3"/>
        <v>0</v>
      </c>
      <c r="K23" s="281">
        <f t="shared" si="3"/>
        <v>0</v>
      </c>
      <c r="L23" s="290"/>
      <c r="M23" s="295"/>
      <c r="N23" s="295"/>
      <c r="O23" s="533"/>
      <c r="P23" s="295"/>
      <c r="Q23" s="295"/>
      <c r="R23" s="295"/>
    </row>
    <row r="24" spans="1:18" x14ac:dyDescent="0.25">
      <c r="A24" s="287" t="s">
        <v>415</v>
      </c>
      <c r="B24" s="638"/>
      <c r="C24" s="94">
        <f>'załącznik nr 1 porównawczy'!C55</f>
        <v>0</v>
      </c>
      <c r="D24" s="94">
        <f>'załącznik nr 1 porównawczy'!D55</f>
        <v>0</v>
      </c>
      <c r="E24" s="94">
        <f>'załącznik nr 1 porównawczy'!E55</f>
        <v>0</v>
      </c>
      <c r="F24" s="94"/>
      <c r="G24" s="94"/>
      <c r="H24" s="94"/>
      <c r="I24" s="94"/>
      <c r="J24" s="94"/>
      <c r="K24" s="94"/>
      <c r="L24" s="290" t="s">
        <v>391</v>
      </c>
      <c r="M24" s="295"/>
      <c r="N24" s="295"/>
      <c r="O24" s="533"/>
      <c r="P24" s="295"/>
      <c r="Q24" s="295"/>
      <c r="R24" s="295"/>
    </row>
    <row r="25" spans="1:18" x14ac:dyDescent="0.25">
      <c r="A25" s="288" t="s">
        <v>423</v>
      </c>
      <c r="B25" s="638"/>
      <c r="C25" s="94">
        <f>'załącznik nr 1 porównawczy'!C56</f>
        <v>0</v>
      </c>
      <c r="D25" s="94">
        <f>'załącznik nr 1 porównawczy'!D56</f>
        <v>0</v>
      </c>
      <c r="E25" s="94">
        <f>'załącznik nr 1 porównawczy'!E56</f>
        <v>0</v>
      </c>
      <c r="F25" s="94"/>
      <c r="G25" s="94"/>
      <c r="H25" s="94"/>
      <c r="I25" s="94"/>
      <c r="J25" s="94"/>
      <c r="K25" s="94"/>
      <c r="L25" s="290" t="s">
        <v>391</v>
      </c>
      <c r="M25" s="295"/>
      <c r="N25" s="295"/>
      <c r="O25" s="533"/>
      <c r="P25" s="295"/>
      <c r="Q25" s="295"/>
      <c r="R25" s="295"/>
    </row>
    <row r="26" spans="1:18" x14ac:dyDescent="0.25">
      <c r="A26" s="288" t="s">
        <v>424</v>
      </c>
      <c r="B26" s="638"/>
      <c r="C26" s="94">
        <f>'załącznik nr 1 porównawczy'!C57</f>
        <v>0</v>
      </c>
      <c r="D26" s="94">
        <f>'załącznik nr 1 porównawczy'!D57</f>
        <v>0</v>
      </c>
      <c r="E26" s="94">
        <f>'załącznik nr 1 porównawczy'!E57</f>
        <v>0</v>
      </c>
      <c r="F26" s="94"/>
      <c r="G26" s="94"/>
      <c r="H26" s="94"/>
      <c r="I26" s="94"/>
      <c r="J26" s="94"/>
      <c r="K26" s="94"/>
      <c r="L26" s="290" t="s">
        <v>391</v>
      </c>
      <c r="M26" s="295"/>
      <c r="N26" s="295"/>
      <c r="O26" s="533"/>
      <c r="P26" s="295"/>
      <c r="Q26" s="295"/>
      <c r="R26" s="295"/>
    </row>
    <row r="27" spans="1:18" hidden="1" x14ac:dyDescent="0.25">
      <c r="A27" s="288"/>
      <c r="B27" s="638"/>
      <c r="C27" s="94"/>
      <c r="D27" s="94"/>
      <c r="E27" s="94"/>
      <c r="F27" s="94"/>
      <c r="G27" s="94"/>
      <c r="H27" s="94"/>
      <c r="I27" s="94"/>
      <c r="J27" s="94"/>
      <c r="K27" s="94"/>
      <c r="L27" s="290" t="s">
        <v>391</v>
      </c>
      <c r="M27" s="295"/>
      <c r="N27" s="295"/>
      <c r="O27" s="533"/>
      <c r="P27" s="295"/>
      <c r="Q27" s="295"/>
      <c r="R27" s="295"/>
    </row>
    <row r="28" spans="1:18" hidden="1" x14ac:dyDescent="0.25">
      <c r="A28" s="288"/>
      <c r="B28" s="638"/>
      <c r="C28" s="94"/>
      <c r="D28" s="94"/>
      <c r="E28" s="94"/>
      <c r="F28" s="94"/>
      <c r="G28" s="94"/>
      <c r="H28" s="94"/>
      <c r="I28" s="94"/>
      <c r="J28" s="94"/>
      <c r="K28" s="94"/>
      <c r="L28" s="290" t="s">
        <v>391</v>
      </c>
      <c r="M28" s="295"/>
      <c r="N28" s="295"/>
      <c r="O28" s="533"/>
      <c r="P28" s="295"/>
      <c r="Q28" s="295"/>
      <c r="R28" s="295"/>
    </row>
    <row r="29" spans="1:18" x14ac:dyDescent="0.25">
      <c r="A29" s="633" t="s">
        <v>427</v>
      </c>
      <c r="B29" s="634">
        <f>RZiS!D19</f>
        <v>0</v>
      </c>
      <c r="C29" s="634">
        <f>'załącznik nr 1 porównawczy'!C58</f>
        <v>0</v>
      </c>
      <c r="D29" s="634">
        <f>'załącznik nr 1 porównawczy'!D58</f>
        <v>0</v>
      </c>
      <c r="E29" s="634">
        <f>'załącznik nr 1 porównawczy'!E58</f>
        <v>0</v>
      </c>
      <c r="F29" s="281">
        <f t="shared" ref="F29:H29" si="4">F31</f>
        <v>0</v>
      </c>
      <c r="G29" s="281">
        <f t="shared" si="4"/>
        <v>0</v>
      </c>
      <c r="H29" s="281">
        <f t="shared" si="4"/>
        <v>0</v>
      </c>
      <c r="I29" s="281">
        <f t="shared" ref="I29:K29" si="5">(I30*I31+I32*I33+I34*I35+I36*I37+I38*I39)*12</f>
        <v>0</v>
      </c>
      <c r="J29" s="281">
        <f t="shared" si="5"/>
        <v>0</v>
      </c>
      <c r="K29" s="281">
        <f t="shared" si="5"/>
        <v>0</v>
      </c>
      <c r="L29" s="290"/>
      <c r="M29" s="295"/>
      <c r="N29" s="295"/>
      <c r="O29" s="533"/>
      <c r="P29" s="295"/>
      <c r="Q29" s="295"/>
      <c r="R29" s="295"/>
    </row>
    <row r="30" spans="1:18" hidden="1" x14ac:dyDescent="0.25">
      <c r="A30" s="288" t="s">
        <v>404</v>
      </c>
      <c r="B30" s="638"/>
      <c r="C30" s="94"/>
      <c r="D30" s="94"/>
      <c r="E30" s="94"/>
      <c r="F30" s="94"/>
      <c r="G30" s="94"/>
      <c r="H30" s="94"/>
      <c r="I30" s="94"/>
      <c r="J30" s="94"/>
      <c r="K30" s="94"/>
      <c r="L30" s="290" t="s">
        <v>391</v>
      </c>
      <c r="M30" s="295"/>
      <c r="N30" s="295"/>
      <c r="O30" s="533"/>
      <c r="P30" s="295"/>
      <c r="Q30" s="295"/>
      <c r="R30" s="295"/>
    </row>
    <row r="31" spans="1:18" hidden="1" x14ac:dyDescent="0.25">
      <c r="A31" s="288" t="s">
        <v>405</v>
      </c>
      <c r="B31" s="638"/>
      <c r="C31" s="94"/>
      <c r="D31" s="94"/>
      <c r="E31" s="94"/>
      <c r="F31" s="94"/>
      <c r="G31" s="94"/>
      <c r="H31" s="94"/>
      <c r="I31" s="94"/>
      <c r="J31" s="94"/>
      <c r="K31" s="94"/>
      <c r="L31" s="290" t="s">
        <v>391</v>
      </c>
      <c r="M31" s="295"/>
      <c r="N31" s="295"/>
      <c r="O31" s="533"/>
      <c r="P31" s="295"/>
      <c r="Q31" s="295"/>
      <c r="R31" s="295"/>
    </row>
    <row r="32" spans="1:18" hidden="1" x14ac:dyDescent="0.25">
      <c r="A32" s="288"/>
      <c r="B32" s="638"/>
      <c r="C32" s="94"/>
      <c r="D32" s="94"/>
      <c r="E32" s="94"/>
      <c r="F32" s="94"/>
      <c r="G32" s="94"/>
      <c r="H32" s="94"/>
      <c r="I32" s="94"/>
      <c r="J32" s="94"/>
      <c r="K32" s="94"/>
      <c r="L32" s="290" t="s">
        <v>391</v>
      </c>
      <c r="M32" s="295"/>
      <c r="N32" s="295"/>
      <c r="O32" s="533"/>
      <c r="P32" s="295"/>
      <c r="Q32" s="295"/>
      <c r="R32" s="295"/>
    </row>
    <row r="33" spans="1:21" hidden="1" x14ac:dyDescent="0.25">
      <c r="A33" s="288"/>
      <c r="B33" s="638"/>
      <c r="C33" s="94"/>
      <c r="D33" s="94"/>
      <c r="E33" s="94"/>
      <c r="F33" s="94"/>
      <c r="G33" s="94"/>
      <c r="H33" s="94"/>
      <c r="I33" s="94"/>
      <c r="J33" s="94"/>
      <c r="K33" s="94"/>
      <c r="L33" s="290" t="s">
        <v>391</v>
      </c>
      <c r="M33" s="295"/>
      <c r="N33" s="295"/>
      <c r="O33" s="533"/>
      <c r="P33" s="295"/>
      <c r="Q33" s="295"/>
      <c r="R33" s="295"/>
    </row>
    <row r="34" spans="1:21" hidden="1" x14ac:dyDescent="0.25">
      <c r="A34" s="288"/>
      <c r="B34" s="638"/>
      <c r="C34" s="94"/>
      <c r="D34" s="94"/>
      <c r="E34" s="94"/>
      <c r="F34" s="94"/>
      <c r="G34" s="94"/>
      <c r="H34" s="94"/>
      <c r="I34" s="94"/>
      <c r="J34" s="94"/>
      <c r="K34" s="94"/>
      <c r="L34" s="290" t="s">
        <v>391</v>
      </c>
      <c r="M34" s="295"/>
      <c r="N34" s="295"/>
      <c r="O34" s="533"/>
      <c r="P34" s="295"/>
      <c r="Q34" s="295"/>
      <c r="R34" s="295"/>
    </row>
    <row r="35" spans="1:21" hidden="1" x14ac:dyDescent="0.25">
      <c r="A35" s="288"/>
      <c r="B35" s="638"/>
      <c r="C35" s="94"/>
      <c r="D35" s="94"/>
      <c r="E35" s="94"/>
      <c r="F35" s="94"/>
      <c r="G35" s="94"/>
      <c r="H35" s="94"/>
      <c r="I35" s="94"/>
      <c r="J35" s="94"/>
      <c r="K35" s="94"/>
      <c r="L35" s="290" t="s">
        <v>391</v>
      </c>
      <c r="M35" s="295"/>
      <c r="N35" s="295"/>
      <c r="O35" s="533"/>
      <c r="P35" s="295"/>
      <c r="Q35" s="295"/>
      <c r="R35" s="295"/>
    </row>
    <row r="36" spans="1:21" hidden="1" x14ac:dyDescent="0.25">
      <c r="A36" s="288"/>
      <c r="B36" s="638"/>
      <c r="C36" s="94"/>
      <c r="D36" s="94"/>
      <c r="E36" s="94"/>
      <c r="F36" s="94"/>
      <c r="G36" s="94"/>
      <c r="H36" s="94"/>
      <c r="I36" s="94"/>
      <c r="J36" s="94"/>
      <c r="K36" s="94"/>
      <c r="L36" s="290" t="s">
        <v>391</v>
      </c>
      <c r="M36" s="295"/>
      <c r="N36" s="295"/>
      <c r="O36" s="533"/>
      <c r="P36" s="295"/>
      <c r="Q36" s="295"/>
      <c r="R36" s="295"/>
      <c r="U36" s="229"/>
    </row>
    <row r="37" spans="1:21" hidden="1" x14ac:dyDescent="0.25">
      <c r="A37" s="288"/>
      <c r="B37" s="638"/>
      <c r="C37" s="94"/>
      <c r="D37" s="94"/>
      <c r="E37" s="94"/>
      <c r="F37" s="94"/>
      <c r="G37" s="94"/>
      <c r="H37" s="94"/>
      <c r="I37" s="94"/>
      <c r="J37" s="94"/>
      <c r="K37" s="94"/>
      <c r="L37" s="290" t="s">
        <v>391</v>
      </c>
      <c r="M37" s="295"/>
      <c r="N37" s="295"/>
      <c r="O37" s="533"/>
      <c r="P37" s="295"/>
      <c r="Q37" s="295"/>
      <c r="R37" s="295"/>
      <c r="U37" s="229"/>
    </row>
    <row r="38" spans="1:21" hidden="1" x14ac:dyDescent="0.25">
      <c r="A38" s="288"/>
      <c r="B38" s="638"/>
      <c r="C38" s="94"/>
      <c r="D38" s="94"/>
      <c r="E38" s="94"/>
      <c r="F38" s="94"/>
      <c r="G38" s="94"/>
      <c r="H38" s="94"/>
      <c r="I38" s="94"/>
      <c r="J38" s="94"/>
      <c r="K38" s="94"/>
      <c r="L38" s="290" t="s">
        <v>391</v>
      </c>
      <c r="M38" s="295"/>
      <c r="N38" s="295"/>
      <c r="O38" s="533"/>
      <c r="P38" s="295"/>
      <c r="Q38" s="295"/>
      <c r="R38" s="295"/>
    </row>
    <row r="39" spans="1:21" hidden="1" x14ac:dyDescent="0.25">
      <c r="A39" s="288"/>
      <c r="B39" s="638"/>
      <c r="C39" s="94"/>
      <c r="D39" s="94"/>
      <c r="E39" s="94"/>
      <c r="F39" s="94"/>
      <c r="G39" s="94"/>
      <c r="H39" s="94"/>
      <c r="I39" s="94"/>
      <c r="J39" s="94"/>
      <c r="K39" s="94"/>
      <c r="L39" s="290" t="s">
        <v>391</v>
      </c>
      <c r="M39" s="295"/>
      <c r="N39" s="295"/>
      <c r="O39" s="533"/>
      <c r="P39" s="295"/>
      <c r="Q39" s="295"/>
      <c r="R39" s="295"/>
    </row>
    <row r="40" spans="1:21" x14ac:dyDescent="0.25">
      <c r="A40" s="633" t="s">
        <v>428</v>
      </c>
      <c r="B40" s="634">
        <f>RZiS!D20</f>
        <v>0</v>
      </c>
      <c r="C40" s="634">
        <f>'załącznik nr 1 porównawczy'!C59</f>
        <v>0</v>
      </c>
      <c r="D40" s="634">
        <f>'załącznik nr 1 porównawczy'!D59</f>
        <v>0</v>
      </c>
      <c r="E40" s="634">
        <f>'załącznik nr 1 porównawczy'!E59</f>
        <v>0</v>
      </c>
      <c r="F40" s="281">
        <f t="shared" ref="F40:K40" si="6">F41*F29</f>
        <v>0</v>
      </c>
      <c r="G40" s="281">
        <f t="shared" si="6"/>
        <v>0</v>
      </c>
      <c r="H40" s="281">
        <f t="shared" si="6"/>
        <v>0</v>
      </c>
      <c r="I40" s="281">
        <f t="shared" si="6"/>
        <v>0</v>
      </c>
      <c r="J40" s="281">
        <f t="shared" si="6"/>
        <v>0</v>
      </c>
      <c r="K40" s="281">
        <f t="shared" si="6"/>
        <v>0</v>
      </c>
      <c r="L40" s="290"/>
      <c r="M40" s="295"/>
      <c r="N40" s="295"/>
      <c r="O40" s="533"/>
      <c r="P40" s="295"/>
      <c r="Q40" s="295"/>
      <c r="R40" s="295"/>
    </row>
    <row r="41" spans="1:21" hidden="1" x14ac:dyDescent="0.25">
      <c r="A41" s="284" t="s">
        <v>287</v>
      </c>
      <c r="B41" s="639"/>
      <c r="C41" s="285">
        <v>0.21</v>
      </c>
      <c r="D41" s="285">
        <v>0.21</v>
      </c>
      <c r="E41" s="285">
        <v>0.21</v>
      </c>
      <c r="F41" s="285">
        <v>0.21</v>
      </c>
      <c r="G41" s="285">
        <v>0.21</v>
      </c>
      <c r="H41" s="285">
        <v>0.21</v>
      </c>
      <c r="I41" s="285">
        <v>0.21</v>
      </c>
      <c r="J41" s="285">
        <v>0.21</v>
      </c>
      <c r="K41" s="285">
        <v>0.21</v>
      </c>
      <c r="L41" s="290" t="s">
        <v>391</v>
      </c>
      <c r="M41" s="295"/>
      <c r="N41" s="295"/>
      <c r="O41" s="533"/>
      <c r="P41" s="295"/>
      <c r="Q41" s="295"/>
      <c r="R41" s="295"/>
    </row>
    <row r="42" spans="1:21" x14ac:dyDescent="0.25">
      <c r="A42" s="633" t="s">
        <v>429</v>
      </c>
      <c r="B42" s="634">
        <f>RZiS!D21</f>
        <v>0</v>
      </c>
      <c r="C42" s="634">
        <f t="shared" ref="C42:K42" si="7">SUM(C43:C44)</f>
        <v>0</v>
      </c>
      <c r="D42" s="634">
        <f t="shared" si="7"/>
        <v>0</v>
      </c>
      <c r="E42" s="634">
        <f t="shared" si="7"/>
        <v>0</v>
      </c>
      <c r="F42" s="281">
        <f t="shared" si="7"/>
        <v>0</v>
      </c>
      <c r="G42" s="281">
        <f t="shared" si="7"/>
        <v>0</v>
      </c>
      <c r="H42" s="281">
        <f t="shared" si="7"/>
        <v>0</v>
      </c>
      <c r="I42" s="281">
        <f t="shared" si="7"/>
        <v>0</v>
      </c>
      <c r="J42" s="281">
        <f t="shared" si="7"/>
        <v>0</v>
      </c>
      <c r="K42" s="281">
        <f t="shared" si="7"/>
        <v>0</v>
      </c>
      <c r="L42" s="290"/>
      <c r="M42" s="295"/>
      <c r="N42" s="295"/>
      <c r="O42" s="533"/>
      <c r="P42" s="295"/>
      <c r="Q42" s="295"/>
      <c r="R42" s="295"/>
    </row>
    <row r="43" spans="1:21" x14ac:dyDescent="0.25">
      <c r="A43" s="288" t="s">
        <v>416</v>
      </c>
      <c r="B43" s="638"/>
      <c r="C43" s="94">
        <f>'załącznik nr 1 porównawczy'!C61</f>
        <v>0</v>
      </c>
      <c r="D43" s="94">
        <f>'załącznik nr 1 porównawczy'!D61</f>
        <v>0</v>
      </c>
      <c r="E43" s="94">
        <f>'załącznik nr 1 porównawczy'!E61</f>
        <v>0</v>
      </c>
      <c r="F43" s="94"/>
      <c r="G43" s="94"/>
      <c r="H43" s="94"/>
      <c r="I43" s="94"/>
      <c r="J43" s="94"/>
      <c r="K43" s="94"/>
      <c r="L43" s="290" t="s">
        <v>391</v>
      </c>
      <c r="M43" s="295"/>
      <c r="N43" s="295"/>
      <c r="O43" s="533"/>
      <c r="P43" s="295"/>
      <c r="Q43" s="295"/>
      <c r="R43" s="295"/>
    </row>
    <row r="44" spans="1:21" x14ac:dyDescent="0.25">
      <c r="A44" s="288" t="s">
        <v>425</v>
      </c>
      <c r="B44" s="638"/>
      <c r="C44" s="94">
        <f>'załącznik nr 1 porównawczy'!C62</f>
        <v>0</v>
      </c>
      <c r="D44" s="94">
        <f>'załącznik nr 1 porównawczy'!D62</f>
        <v>0</v>
      </c>
      <c r="E44" s="94">
        <f>'załącznik nr 1 porównawczy'!E62</f>
        <v>0</v>
      </c>
      <c r="F44" s="94"/>
      <c r="G44" s="94"/>
      <c r="H44" s="94"/>
      <c r="I44" s="94"/>
      <c r="J44" s="94"/>
      <c r="K44" s="94"/>
      <c r="L44" s="290" t="s">
        <v>391</v>
      </c>
      <c r="M44" s="295"/>
      <c r="N44" s="295"/>
      <c r="O44" s="295"/>
      <c r="P44" s="295"/>
      <c r="Q44" s="295"/>
      <c r="R44" s="295"/>
    </row>
    <row r="45" spans="1:21" ht="16.5" customHeight="1" x14ac:dyDescent="0.25">
      <c r="A45" s="712"/>
      <c r="B45" s="712"/>
      <c r="C45" s="712"/>
      <c r="D45" s="712"/>
      <c r="E45" s="712"/>
      <c r="F45" s="712"/>
      <c r="G45" s="712"/>
      <c r="H45" s="712"/>
      <c r="I45" s="713"/>
      <c r="J45" s="713"/>
      <c r="K45" s="713"/>
      <c r="L45" s="293"/>
    </row>
    <row r="46" spans="1:21" ht="18.75" x14ac:dyDescent="0.3">
      <c r="A46" s="286" t="s">
        <v>308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93"/>
    </row>
    <row r="47" spans="1:21" x14ac:dyDescent="0.25">
      <c r="A47" s="635" t="s">
        <v>307</v>
      </c>
      <c r="B47" s="292"/>
      <c r="C47" s="290" t="s">
        <v>356</v>
      </c>
    </row>
    <row r="48" spans="1:21" x14ac:dyDescent="0.25">
      <c r="A48" s="636" t="s">
        <v>306</v>
      </c>
      <c r="B48" s="292"/>
      <c r="C48" s="290" t="s">
        <v>356</v>
      </c>
    </row>
    <row r="49" spans="1:12" x14ac:dyDescent="0.25">
      <c r="A49" s="636" t="s">
        <v>309</v>
      </c>
      <c r="B49" s="292"/>
      <c r="C49" s="290" t="s">
        <v>356</v>
      </c>
    </row>
    <row r="50" spans="1:12" x14ac:dyDescent="0.25">
      <c r="A50" s="64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293"/>
    </row>
    <row r="51" spans="1:12" x14ac:dyDescent="0.25">
      <c r="A51" s="494"/>
      <c r="B51" s="301"/>
      <c r="C51" s="495"/>
      <c r="D51" s="496"/>
      <c r="E51" s="496"/>
      <c r="F51" s="488" t="s">
        <v>392</v>
      </c>
      <c r="G51" s="496"/>
      <c r="I51" s="57"/>
      <c r="J51" s="57"/>
      <c r="K51" s="57"/>
    </row>
    <row r="52" spans="1:12" x14ac:dyDescent="0.25">
      <c r="A52" s="497"/>
      <c r="B52" s="301"/>
      <c r="C52" s="498"/>
      <c r="D52" s="499"/>
      <c r="E52" s="499"/>
      <c r="F52" s="490" t="s">
        <v>393</v>
      </c>
      <c r="G52" s="499"/>
      <c r="I52" s="57"/>
      <c r="J52" s="57"/>
      <c r="K52" s="57"/>
    </row>
    <row r="53" spans="1:12" x14ac:dyDescent="0.25">
      <c r="A53" s="64"/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1:12" x14ac:dyDescent="0.25">
      <c r="A54" s="64"/>
      <c r="B54" s="57"/>
      <c r="C54" s="57"/>
      <c r="D54" s="57"/>
      <c r="E54" s="57"/>
      <c r="F54" s="57"/>
      <c r="G54" s="57"/>
      <c r="H54" s="57"/>
      <c r="I54" s="57"/>
      <c r="J54" s="57"/>
      <c r="K54" s="57"/>
    </row>
    <row r="55" spans="1:12" x14ac:dyDescent="0.25">
      <c r="A55" s="64"/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spans="1:12" x14ac:dyDescent="0.25">
      <c r="A56" s="64"/>
      <c r="B56" s="57"/>
      <c r="C56" s="57"/>
      <c r="D56" s="57"/>
      <c r="E56" s="57"/>
      <c r="F56" s="57"/>
      <c r="G56" s="57"/>
      <c r="H56" s="57"/>
      <c r="I56" s="57"/>
      <c r="J56" s="57"/>
      <c r="K56" s="57"/>
    </row>
    <row r="57" spans="1:12" x14ac:dyDescent="0.25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x14ac:dyDescent="0.25">
      <c r="A58" s="64"/>
      <c r="B58" s="57"/>
      <c r="C58" s="57"/>
      <c r="D58" s="57"/>
      <c r="E58" s="57"/>
      <c r="F58" s="57"/>
      <c r="G58" s="57"/>
      <c r="H58" s="57"/>
      <c r="I58" s="57"/>
      <c r="J58" s="57"/>
      <c r="K58" s="57"/>
    </row>
    <row r="59" spans="1:12" x14ac:dyDescent="0.25">
      <c r="A59" s="64"/>
      <c r="B59" s="57"/>
      <c r="C59" s="57"/>
      <c r="D59" s="57"/>
      <c r="E59" s="57"/>
      <c r="F59" s="57"/>
      <c r="G59" s="57"/>
      <c r="H59" s="57"/>
      <c r="I59" s="57"/>
      <c r="J59" s="57"/>
      <c r="K59" s="57"/>
    </row>
    <row r="60" spans="1:12" x14ac:dyDescent="0.25">
      <c r="A60" s="64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2" x14ac:dyDescent="0.25">
      <c r="A61" s="270"/>
      <c r="B61" s="271"/>
      <c r="C61" s="271"/>
      <c r="D61" s="271"/>
      <c r="E61" s="271"/>
      <c r="F61" s="271"/>
      <c r="G61" s="271"/>
      <c r="H61" s="271"/>
      <c r="I61" s="271"/>
      <c r="J61" s="271"/>
      <c r="K61" s="271"/>
    </row>
    <row r="62" spans="1:12" x14ac:dyDescent="0.25">
      <c r="A62" s="64"/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3" spans="1:12" x14ac:dyDescent="0.25">
      <c r="A63" s="64"/>
      <c r="B63" s="57"/>
      <c r="C63" s="57"/>
      <c r="D63" s="57"/>
      <c r="E63" s="57"/>
      <c r="F63" s="57"/>
      <c r="G63" s="57"/>
      <c r="H63" s="57"/>
      <c r="I63" s="57"/>
      <c r="J63" s="57"/>
      <c r="K63" s="57"/>
    </row>
    <row r="64" spans="1:12" x14ac:dyDescent="0.25">
      <c r="A64" s="64"/>
      <c r="B64" s="57"/>
      <c r="C64" s="57"/>
      <c r="D64" s="57"/>
      <c r="E64" s="57"/>
      <c r="F64" s="57"/>
      <c r="G64" s="57"/>
      <c r="H64" s="57"/>
      <c r="I64" s="57"/>
      <c r="J64" s="57"/>
      <c r="K64" s="57"/>
    </row>
    <row r="65" spans="1:11" x14ac:dyDescent="0.25">
      <c r="A65" s="64"/>
      <c r="B65" s="57"/>
      <c r="C65" s="57"/>
      <c r="D65" s="57"/>
      <c r="E65" s="57"/>
      <c r="F65" s="57"/>
      <c r="G65" s="57"/>
      <c r="H65" s="57"/>
      <c r="I65" s="57"/>
      <c r="J65" s="57"/>
      <c r="K65" s="57"/>
    </row>
    <row r="66" spans="1:11" x14ac:dyDescent="0.25">
      <c r="A66" s="64"/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1:11" x14ac:dyDescent="0.25">
      <c r="A67" s="270"/>
      <c r="B67" s="271"/>
      <c r="C67" s="271"/>
      <c r="D67" s="271"/>
      <c r="E67" s="271"/>
      <c r="F67" s="271"/>
      <c r="G67" s="271"/>
      <c r="H67" s="271"/>
      <c r="I67" s="271"/>
      <c r="J67" s="271"/>
      <c r="K67" s="271"/>
    </row>
    <row r="68" spans="1:11" x14ac:dyDescent="0.25">
      <c r="A68" s="64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x14ac:dyDescent="0.25">
      <c r="A69" s="270"/>
      <c r="B69" s="271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 x14ac:dyDescent="0.25">
      <c r="A70" s="64"/>
      <c r="B70" s="57"/>
      <c r="C70" s="57"/>
      <c r="D70" s="57"/>
      <c r="E70" s="57"/>
      <c r="F70" s="57"/>
      <c r="G70" s="57"/>
      <c r="H70" s="57"/>
      <c r="I70" s="57"/>
      <c r="J70" s="57"/>
      <c r="K70" s="57"/>
    </row>
    <row r="71" spans="1:11" x14ac:dyDescent="0.25">
      <c r="A71" s="64"/>
      <c r="B71" s="57"/>
      <c r="C71" s="57"/>
      <c r="D71" s="57"/>
      <c r="E71" s="57"/>
      <c r="F71" s="57"/>
      <c r="G71" s="57"/>
      <c r="H71" s="57"/>
      <c r="I71" s="57"/>
      <c r="J71" s="57"/>
      <c r="K71" s="57"/>
    </row>
    <row r="72" spans="1:11" x14ac:dyDescent="0.25">
      <c r="A72" s="64"/>
      <c r="B72" s="57"/>
      <c r="C72" s="57"/>
      <c r="D72" s="57"/>
      <c r="E72" s="57"/>
      <c r="F72" s="57"/>
      <c r="G72" s="57"/>
      <c r="H72" s="57"/>
      <c r="I72" s="57"/>
      <c r="J72" s="57"/>
      <c r="K72" s="57"/>
    </row>
    <row r="73" spans="1:11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</sheetData>
  <sheetProtection sheet="1" objects="1" scenarios="1"/>
  <mergeCells count="2">
    <mergeCell ref="E1:K1"/>
    <mergeCell ref="A45:K45"/>
  </mergeCells>
  <pageMargins left="0.70866141732283472" right="0.31496062992125984" top="0.35433070866141736" bottom="0.15748031496062992" header="0.31496062992125984" footer="0.31496062992125984"/>
  <pageSetup paperSize="9" scale="81" orientation="portrait" horizontalDpi="4294967294" r:id="rId1"/>
  <colBreaks count="1" manualBreakCount="1">
    <brk id="8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topLeftCell="A4" zoomScale="96" zoomScaleNormal="100" zoomScaleSheetLayoutView="96" workbookViewId="0">
      <selection activeCell="D12" sqref="D12"/>
    </sheetView>
  </sheetViews>
  <sheetFormatPr defaultColWidth="9.140625" defaultRowHeight="15" x14ac:dyDescent="0.25"/>
  <cols>
    <col min="1" max="1" width="2.7109375" style="41" bestFit="1" customWidth="1"/>
    <col min="2" max="2" width="69.28515625" style="41" customWidth="1"/>
    <col min="3" max="3" width="9.140625" style="41"/>
    <col min="4" max="6" width="9.5703125" style="41" bestFit="1" customWidth="1"/>
    <col min="7" max="12" width="9.5703125" style="41" hidden="1" customWidth="1"/>
    <col min="13" max="16384" width="9.140625" style="41"/>
  </cols>
  <sheetData>
    <row r="1" spans="1:16" ht="18.75" x14ac:dyDescent="0.25">
      <c r="A1" s="125" t="str">
        <f>[1]Arkusz1!K1</f>
        <v>Rachunek przepływów</v>
      </c>
      <c r="B1" s="140"/>
      <c r="C1" s="141"/>
      <c r="D1" s="141"/>
      <c r="E1" s="141"/>
      <c r="F1" s="142"/>
      <c r="G1" s="141"/>
      <c r="H1" s="141"/>
      <c r="I1" s="141"/>
      <c r="J1" s="141"/>
      <c r="K1" s="141"/>
      <c r="L1" s="142"/>
    </row>
    <row r="2" spans="1:16" ht="15.75" thickBot="1" x14ac:dyDescent="0.3">
      <c r="A2" s="128" t="str">
        <f>[1]Arkusz1!H2</f>
        <v xml:space="preserve"> - wariant porównawczy -</v>
      </c>
      <c r="B2" s="143"/>
      <c r="C2" s="10"/>
      <c r="D2" s="10"/>
      <c r="E2" s="10"/>
      <c r="F2" s="144"/>
      <c r="G2" s="10"/>
      <c r="H2" s="10"/>
      <c r="I2" s="10"/>
      <c r="J2" s="10"/>
      <c r="K2" s="10"/>
      <c r="L2" s="144"/>
    </row>
    <row r="3" spans="1:16" ht="15.75" hidden="1" thickBot="1" x14ac:dyDescent="0.3">
      <c r="A3" s="145"/>
      <c r="B3" s="145"/>
      <c r="C3" s="11"/>
      <c r="D3" s="11" t="s">
        <v>48</v>
      </c>
      <c r="E3" s="11"/>
      <c r="F3" s="146"/>
      <c r="G3" s="11"/>
      <c r="H3" s="11"/>
      <c r="I3" s="11"/>
      <c r="J3" s="11"/>
      <c r="K3" s="11"/>
      <c r="L3" s="146"/>
    </row>
    <row r="4" spans="1:16" ht="15.75" thickBot="1" x14ac:dyDescent="0.3">
      <c r="A4" s="166" t="str">
        <f>[1]Arkusz1!K4</f>
        <v>Wyszczególnienie</v>
      </c>
      <c r="B4" s="147"/>
      <c r="C4" s="4">
        <f>RZiS!D6</f>
        <v>2023</v>
      </c>
      <c r="D4" s="4">
        <f>RZiS!F6</f>
        <v>2024</v>
      </c>
      <c r="E4" s="4">
        <f>RZiS!G6</f>
        <v>2025</v>
      </c>
      <c r="F4" s="4">
        <f>RZiS!H6</f>
        <v>2026</v>
      </c>
      <c r="G4" s="592" t="s">
        <v>65</v>
      </c>
      <c r="H4" s="4" t="s">
        <v>66</v>
      </c>
      <c r="I4" s="4" t="s">
        <v>312</v>
      </c>
      <c r="J4" s="4" t="s">
        <v>313</v>
      </c>
      <c r="K4" s="4" t="s">
        <v>314</v>
      </c>
      <c r="L4" s="4" t="s">
        <v>315</v>
      </c>
    </row>
    <row r="5" spans="1:16" ht="15.75" thickBot="1" x14ac:dyDescent="0.3">
      <c r="A5" s="167"/>
      <c r="B5" s="148" t="str">
        <f>[1]Arkusz1!K5</f>
        <v>Działalność Operacyjna</v>
      </c>
      <c r="C5" s="12"/>
      <c r="D5" s="12"/>
      <c r="E5" s="12"/>
      <c r="F5" s="149"/>
      <c r="G5" s="12"/>
      <c r="H5" s="12"/>
      <c r="I5" s="12"/>
      <c r="J5" s="12"/>
      <c r="K5" s="12"/>
      <c r="L5" s="149"/>
    </row>
    <row r="6" spans="1:16" x14ac:dyDescent="0.25">
      <c r="A6" s="168"/>
      <c r="B6" s="150" t="str">
        <f>[1]Arkusz1!K6</f>
        <v>Przychody ze sprzedaży produktów,  towarów i materiałów</v>
      </c>
      <c r="C6" s="13">
        <f>RZiS!D7</f>
        <v>0</v>
      </c>
      <c r="D6" s="13">
        <f>RZiS!F7</f>
        <v>0</v>
      </c>
      <c r="E6" s="13">
        <f>RZiS!G7</f>
        <v>0</v>
      </c>
      <c r="F6" s="13">
        <f>RZiS!H7</f>
        <v>0</v>
      </c>
      <c r="G6" s="13">
        <f>RZiS!I7</f>
        <v>0</v>
      </c>
      <c r="H6" s="13">
        <f>RZiS!J7</f>
        <v>0</v>
      </c>
      <c r="I6" s="13">
        <f>RZiS!K7</f>
        <v>0</v>
      </c>
      <c r="J6" s="13">
        <f>RZiS!L7</f>
        <v>0</v>
      </c>
      <c r="K6" s="13">
        <f>RZiS!M7</f>
        <v>0</v>
      </c>
      <c r="L6" s="13">
        <f>RZiS!N7</f>
        <v>0</v>
      </c>
    </row>
    <row r="7" spans="1:16" x14ac:dyDescent="0.25">
      <c r="A7" s="168"/>
      <c r="B7" s="150" t="s">
        <v>69</v>
      </c>
      <c r="C7" s="13">
        <f>RZiS!D26+RZiS!D27</f>
        <v>0</v>
      </c>
      <c r="D7" s="13">
        <f>RZiS!F26+RZiS!F27</f>
        <v>0</v>
      </c>
      <c r="E7" s="13">
        <f>RZiS!G26+RZiS!G27</f>
        <v>0</v>
      </c>
      <c r="F7" s="13">
        <f>RZiS!H26+RZiS!H27</f>
        <v>0</v>
      </c>
      <c r="G7" s="13">
        <f>RZiS!I26+RZiS!I27</f>
        <v>0</v>
      </c>
      <c r="H7" s="13">
        <f>RZiS!J26+RZiS!J27</f>
        <v>0</v>
      </c>
      <c r="I7" s="13">
        <f>RZiS!K26+RZiS!K27</f>
        <v>0</v>
      </c>
      <c r="J7" s="13">
        <f>RZiS!L26+RZiS!L27</f>
        <v>0</v>
      </c>
      <c r="K7" s="13">
        <f>RZiS!M26+RZiS!M27</f>
        <v>0</v>
      </c>
      <c r="L7" s="13">
        <f>RZiS!N26+RZiS!N27</f>
        <v>0</v>
      </c>
    </row>
    <row r="8" spans="1:16" x14ac:dyDescent="0.25">
      <c r="A8" s="168"/>
      <c r="B8" s="150" t="str">
        <f>[1]Arkusz1!K8</f>
        <v>Zyski nadzwyczajne</v>
      </c>
      <c r="C8" s="13">
        <f>RZiS!D51</f>
        <v>0</v>
      </c>
      <c r="D8" s="13">
        <f>RZiS!F51</f>
        <v>0</v>
      </c>
      <c r="E8" s="13">
        <f>RZiS!G51</f>
        <v>0</v>
      </c>
      <c r="F8" s="13">
        <f>RZiS!H51</f>
        <v>0</v>
      </c>
      <c r="G8" s="13">
        <f>RZiS!I51</f>
        <v>0</v>
      </c>
      <c r="H8" s="13">
        <f>RZiS!J51</f>
        <v>0</v>
      </c>
      <c r="I8" s="13">
        <f>RZiS!K51</f>
        <v>0</v>
      </c>
      <c r="J8" s="13">
        <f>RZiS!L51</f>
        <v>0</v>
      </c>
      <c r="K8" s="13">
        <f>RZiS!M51</f>
        <v>0</v>
      </c>
      <c r="L8" s="13">
        <f>RZiS!N51</f>
        <v>0</v>
      </c>
    </row>
    <row r="9" spans="1:16" x14ac:dyDescent="0.25">
      <c r="A9" s="168"/>
      <c r="B9" s="150" t="str">
        <f>[1]Arkusz1!K9</f>
        <v xml:space="preserve">Koszty działalności operacyjnej (bez amortyzacji) </v>
      </c>
      <c r="C9" s="13">
        <f>-(RZiS!D13-RZiS!D14)</f>
        <v>0</v>
      </c>
      <c r="D9" s="13">
        <f>-(RZiS!F13-RZiS!F14)</f>
        <v>0</v>
      </c>
      <c r="E9" s="13">
        <f>-(RZiS!G13-RZiS!G14)</f>
        <v>0</v>
      </c>
      <c r="F9" s="13">
        <f>-(RZiS!H13-RZiS!H14)</f>
        <v>0</v>
      </c>
      <c r="G9" s="13">
        <f>-(RZiS!I13-RZiS!I14)</f>
        <v>0</v>
      </c>
      <c r="H9" s="13">
        <f>-(RZiS!J13-RZiS!J14)</f>
        <v>0</v>
      </c>
      <c r="I9" s="13">
        <f>-(RZiS!K13-RZiS!K14)</f>
        <v>0</v>
      </c>
      <c r="J9" s="13">
        <f>-(RZiS!L13-RZiS!L14)</f>
        <v>0</v>
      </c>
      <c r="K9" s="13">
        <f>-(RZiS!M13-RZiS!M14)</f>
        <v>0</v>
      </c>
      <c r="L9" s="13">
        <f>-(RZiS!N13-RZiS!N14)</f>
        <v>0</v>
      </c>
    </row>
    <row r="10" spans="1:16" x14ac:dyDescent="0.25">
      <c r="A10" s="168"/>
      <c r="B10" s="150" t="s">
        <v>68</v>
      </c>
      <c r="C10" s="13">
        <f>-RZiS!D31</f>
        <v>0</v>
      </c>
      <c r="D10" s="13">
        <f>-RZiS!F31</f>
        <v>0</v>
      </c>
      <c r="E10" s="13">
        <f>-RZiS!G31</f>
        <v>0</v>
      </c>
      <c r="F10" s="13">
        <f>-RZiS!H31</f>
        <v>0</v>
      </c>
      <c r="G10" s="13">
        <f>-RZiS!I31</f>
        <v>0</v>
      </c>
      <c r="H10" s="13">
        <f>-RZiS!J31</f>
        <v>0</v>
      </c>
      <c r="I10" s="13">
        <f>-RZiS!K31</f>
        <v>0</v>
      </c>
      <c r="J10" s="13">
        <f>-RZiS!L31</f>
        <v>0</v>
      </c>
      <c r="K10" s="13">
        <f>-RZiS!M31</f>
        <v>0</v>
      </c>
      <c r="L10" s="13">
        <f>-RZiS!N31</f>
        <v>0</v>
      </c>
    </row>
    <row r="11" spans="1:16" x14ac:dyDescent="0.25">
      <c r="A11" s="168"/>
      <c r="B11" s="150" t="str">
        <f>[1]Arkusz1!K11</f>
        <v>Straty nadzwyczajne</v>
      </c>
      <c r="C11" s="13">
        <f>-RZiS!D52</f>
        <v>0</v>
      </c>
      <c r="D11" s="13">
        <f>-RZiS!F52</f>
        <v>0</v>
      </c>
      <c r="E11" s="13">
        <f>-RZiS!G52</f>
        <v>0</v>
      </c>
      <c r="F11" s="13">
        <f>-RZiS!H52</f>
        <v>0</v>
      </c>
      <c r="G11" s="13">
        <f>-RZiS!I52</f>
        <v>0</v>
      </c>
      <c r="H11" s="13">
        <f>-RZiS!J52</f>
        <v>0</v>
      </c>
      <c r="I11" s="13">
        <f>-RZiS!K52</f>
        <v>0</v>
      </c>
      <c r="J11" s="13">
        <f>-RZiS!L52</f>
        <v>0</v>
      </c>
      <c r="K11" s="13">
        <f>-RZiS!M52</f>
        <v>0</v>
      </c>
      <c r="L11" s="13">
        <f>-RZiS!N52</f>
        <v>0</v>
      </c>
    </row>
    <row r="12" spans="1:16" x14ac:dyDescent="0.25">
      <c r="A12" s="168"/>
      <c r="B12" s="150" t="str">
        <f>[1]Arkusz1!K12</f>
        <v>Wzrost(-) lub spadek (+) stanu należności</v>
      </c>
      <c r="C12" s="13"/>
      <c r="D12" s="13">
        <f>-(bilans!D49-bilans!C49)</f>
        <v>0</v>
      </c>
      <c r="E12" s="13">
        <f>-(bilans!E49-bilans!D49)</f>
        <v>0</v>
      </c>
      <c r="F12" s="13">
        <f>-(bilans!F49-bilans!E49)</f>
        <v>0</v>
      </c>
      <c r="G12" s="13">
        <f>-(bilans!G49-bilans!F49)</f>
        <v>0</v>
      </c>
      <c r="H12" s="13">
        <f>-(bilans!H49-bilans!G49)</f>
        <v>0</v>
      </c>
      <c r="I12" s="13">
        <f>-(bilans!I49-bilans!H49)</f>
        <v>0</v>
      </c>
      <c r="J12" s="13">
        <f>-(bilans!J49-bilans!I49)</f>
        <v>0</v>
      </c>
      <c r="K12" s="13">
        <f>-(bilans!K49-bilans!J49)</f>
        <v>0</v>
      </c>
      <c r="L12" s="13">
        <f>-(bilans!L49-bilans!K49)</f>
        <v>0</v>
      </c>
    </row>
    <row r="13" spans="1:16" x14ac:dyDescent="0.25">
      <c r="A13" s="168"/>
      <c r="B13" s="150" t="str">
        <f>[1]Arkusz1!K13</f>
        <v>Wzrost (+) lub spadek (-) stanu rezerw</v>
      </c>
      <c r="C13" s="13"/>
      <c r="D13" s="13">
        <f>bilans!D94-bilans!C94</f>
        <v>0</v>
      </c>
      <c r="E13" s="13">
        <f>bilans!E94-bilans!D94</f>
        <v>0</v>
      </c>
      <c r="F13" s="13">
        <f>bilans!F94-bilans!E94</f>
        <v>0</v>
      </c>
      <c r="G13" s="13">
        <f>bilans!G94-bilans!F94</f>
        <v>0</v>
      </c>
      <c r="H13" s="13">
        <f>bilans!H94-bilans!G94</f>
        <v>0</v>
      </c>
      <c r="I13" s="13">
        <f>bilans!I94-bilans!H94</f>
        <v>0</v>
      </c>
      <c r="J13" s="13">
        <f>bilans!J94-bilans!I94</f>
        <v>0</v>
      </c>
      <c r="K13" s="13">
        <f>bilans!K94-bilans!J94</f>
        <v>0</v>
      </c>
      <c r="L13" s="13">
        <f>bilans!L94-bilans!K94</f>
        <v>0</v>
      </c>
    </row>
    <row r="14" spans="1:16" x14ac:dyDescent="0.25">
      <c r="A14" s="168"/>
      <c r="B14" s="150" t="str">
        <f>[1]Arkusz1!K14</f>
        <v>Wzrost (+) lub spadek (-) stanu RMB</v>
      </c>
      <c r="C14" s="13"/>
      <c r="D14" s="13">
        <f>bilans!D129-bilans!C129</f>
        <v>0</v>
      </c>
      <c r="E14" s="13">
        <f>bilans!E129-bilans!D129</f>
        <v>0</v>
      </c>
      <c r="F14" s="13">
        <f>bilans!F129-bilans!E129</f>
        <v>0</v>
      </c>
      <c r="G14" s="13">
        <f>bilans!G129-bilans!F129</f>
        <v>0</v>
      </c>
      <c r="H14" s="13">
        <f>bilans!H129-bilans!G129</f>
        <v>0</v>
      </c>
      <c r="I14" s="13">
        <f>bilans!I129-bilans!H129</f>
        <v>0</v>
      </c>
      <c r="J14" s="13">
        <f>bilans!J129-bilans!I129</f>
        <v>0</v>
      </c>
      <c r="K14" s="13">
        <f>bilans!K129-bilans!J129</f>
        <v>0</v>
      </c>
      <c r="L14" s="13">
        <f>bilans!L129-bilans!K129</f>
        <v>0</v>
      </c>
    </row>
    <row r="15" spans="1:16" x14ac:dyDescent="0.25">
      <c r="A15" s="168"/>
      <c r="B15" s="150" t="str">
        <f>[1]Arkusz1!K15</f>
        <v>Wzrost (-) lub spadek (+) stanu zapasów</v>
      </c>
      <c r="C15" s="13"/>
      <c r="D15" s="13">
        <f>-(bilans!D43-bilans!C43)</f>
        <v>0</v>
      </c>
      <c r="E15" s="13">
        <f>-(bilans!E43-bilans!D43)</f>
        <v>0</v>
      </c>
      <c r="F15" s="13">
        <f>-(bilans!F43-bilans!E43)</f>
        <v>0</v>
      </c>
      <c r="G15" s="13">
        <f>-(bilans!G43-bilans!F43)</f>
        <v>0</v>
      </c>
      <c r="H15" s="13">
        <f>-(bilans!H43-bilans!G43)</f>
        <v>0</v>
      </c>
      <c r="I15" s="13">
        <f>-(bilans!I43-bilans!H43)</f>
        <v>0</v>
      </c>
      <c r="J15" s="13">
        <f>-(bilans!J43-bilans!I43)</f>
        <v>0</v>
      </c>
      <c r="K15" s="13">
        <f>-(bilans!K43-bilans!J43)</f>
        <v>0</v>
      </c>
      <c r="L15" s="13">
        <f>-(bilans!L43-bilans!K43)</f>
        <v>0</v>
      </c>
    </row>
    <row r="16" spans="1:16" x14ac:dyDescent="0.25">
      <c r="A16" s="168"/>
      <c r="B16" s="150" t="str">
        <f>[1]Arkusz1!K16</f>
        <v>Wzrost (+) lub spadek (-) stanu zobowiązań krótkoterm.</v>
      </c>
      <c r="C16" s="13"/>
      <c r="D16" s="13">
        <f>(bilans!D120-bilans!C120)+(bilans!D127-bilans!C127)+(bilans!D128-bilans!C128)</f>
        <v>0</v>
      </c>
      <c r="E16" s="13">
        <f>(bilans!E120-bilans!D120)+(bilans!E127-bilans!D127)+(bilans!E128-bilans!D128)</f>
        <v>0</v>
      </c>
      <c r="F16" s="13">
        <f>(bilans!F120-bilans!E120)+(bilans!F127-bilans!E127)+(bilans!F128-bilans!E128)</f>
        <v>0</v>
      </c>
      <c r="G16" s="13">
        <f>(bilans!G120-bilans!F120)+(bilans!G127-bilans!F127)+(bilans!G128-bilans!F128)</f>
        <v>0</v>
      </c>
      <c r="H16" s="13">
        <f>(bilans!H120-bilans!G120)+(bilans!H127-bilans!G127)+(bilans!H128-bilans!G128)</f>
        <v>0</v>
      </c>
      <c r="I16" s="13">
        <f>(bilans!I120-bilans!H120)+(bilans!I127-bilans!H127)+(bilans!I128-bilans!H128)</f>
        <v>0</v>
      </c>
      <c r="J16" s="13">
        <f>(bilans!J120-bilans!I120)+(bilans!J127-bilans!I127)+(bilans!J128-bilans!I128)</f>
        <v>0</v>
      </c>
      <c r="K16" s="13">
        <f>(bilans!K120-bilans!J120)+(bilans!K127-bilans!J127)+(bilans!K128-bilans!J128)</f>
        <v>0</v>
      </c>
      <c r="L16" s="590">
        <f>(bilans!L120-bilans!K120)+(bilans!L127-bilans!K127)+(bilans!L128-bilans!K128)</f>
        <v>0</v>
      </c>
      <c r="M16" s="591"/>
      <c r="P16" s="44"/>
    </row>
    <row r="17" spans="1:12" x14ac:dyDescent="0.25">
      <c r="A17" s="168"/>
      <c r="B17" s="150" t="str">
        <f>[1]Arkusz1!K17</f>
        <v>Wzrost (-) lub spadek (+) stanu RMC</v>
      </c>
      <c r="C17" s="13"/>
      <c r="D17" s="13">
        <f>-(bilans!D79-bilans!C79)</f>
        <v>0</v>
      </c>
      <c r="E17" s="13">
        <f>-(bilans!E79-bilans!D79)</f>
        <v>0</v>
      </c>
      <c r="F17" s="13">
        <f>-(bilans!F79-bilans!E79)</f>
        <v>0</v>
      </c>
      <c r="G17" s="13">
        <f>-(bilans!G79-bilans!F79)</f>
        <v>0</v>
      </c>
      <c r="H17" s="13">
        <f>-(bilans!H79-bilans!G79)</f>
        <v>0</v>
      </c>
      <c r="I17" s="13">
        <f>-(bilans!I79-bilans!H79)</f>
        <v>0</v>
      </c>
      <c r="J17" s="13">
        <f>-(bilans!J79-bilans!I79)</f>
        <v>0</v>
      </c>
      <c r="K17" s="13">
        <f>-(bilans!K79-bilans!J79)</f>
        <v>0</v>
      </c>
      <c r="L17" s="13">
        <f>-(bilans!L79-bilans!K79)</f>
        <v>0</v>
      </c>
    </row>
    <row r="18" spans="1:12" hidden="1" x14ac:dyDescent="0.25">
      <c r="A18" s="168"/>
      <c r="B18" s="150" t="str">
        <f>[1]Arkusz1!K18</f>
        <v>Wynik na sprzedaży niefinansowych aktywów trwałych (+,-)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.75" thickBot="1" x14ac:dyDescent="0.3">
      <c r="A19" s="168"/>
      <c r="B19" s="150" t="str">
        <f>[1]Arkusz1!K19</f>
        <v>Podatek dochodowy (-)</v>
      </c>
      <c r="C19" s="13">
        <f>-RZiS!D54</f>
        <v>0</v>
      </c>
      <c r="D19" s="13">
        <f>-RZiS!F54</f>
        <v>0</v>
      </c>
      <c r="E19" s="13">
        <f>-RZiS!G54</f>
        <v>0</v>
      </c>
      <c r="F19" s="13">
        <f>-RZiS!H54</f>
        <v>0</v>
      </c>
      <c r="G19" s="13">
        <f>-RZiS!I54</f>
        <v>0</v>
      </c>
      <c r="H19" s="13">
        <f>-RZiS!J54</f>
        <v>0</v>
      </c>
      <c r="I19" s="13">
        <f>-RZiS!K54</f>
        <v>0</v>
      </c>
      <c r="J19" s="13">
        <f>-RZiS!L54</f>
        <v>0</v>
      </c>
      <c r="K19" s="13">
        <f>-RZiS!M54</f>
        <v>0</v>
      </c>
      <c r="L19" s="13">
        <f>-RZiS!N54</f>
        <v>0</v>
      </c>
    </row>
    <row r="20" spans="1:12" ht="15.75" hidden="1" thickBot="1" x14ac:dyDescent="0.3">
      <c r="A20" s="169"/>
      <c r="B20" s="151" t="str">
        <f>[1]Arkusz1!K20</f>
        <v>Inne</v>
      </c>
      <c r="C20" s="27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5.75" thickBot="1" x14ac:dyDescent="0.3">
      <c r="A21" s="170" t="s">
        <v>19</v>
      </c>
      <c r="B21" s="152" t="str">
        <f>[1]Arkusz1!K21</f>
        <v>Przepływy działalności operacyjnej (I-II)</v>
      </c>
      <c r="C21" s="15">
        <f t="shared" ref="C21:K21" si="0">SUM(C6:C20)</f>
        <v>0</v>
      </c>
      <c r="D21" s="15">
        <f t="shared" si="0"/>
        <v>0</v>
      </c>
      <c r="E21" s="15">
        <f t="shared" si="0"/>
        <v>0</v>
      </c>
      <c r="F21" s="15">
        <f t="shared" si="0"/>
        <v>0</v>
      </c>
      <c r="G21" s="15">
        <f t="shared" si="0"/>
        <v>0</v>
      </c>
      <c r="H21" s="15">
        <f t="shared" si="0"/>
        <v>0</v>
      </c>
      <c r="I21" s="15">
        <f t="shared" si="0"/>
        <v>0</v>
      </c>
      <c r="J21" s="15">
        <f t="shared" si="0"/>
        <v>0</v>
      </c>
      <c r="K21" s="15">
        <f t="shared" si="0"/>
        <v>0</v>
      </c>
      <c r="L21" s="15">
        <f t="shared" ref="L21" si="1">SUM(L6:L20)</f>
        <v>0</v>
      </c>
    </row>
    <row r="22" spans="1:12" ht="15.75" thickBot="1" x14ac:dyDescent="0.3">
      <c r="A22" s="153"/>
      <c r="B22" s="153" t="str">
        <f>[1]Arkusz1!K22</f>
        <v>Działalność Finansowa</v>
      </c>
      <c r="C22" s="35"/>
      <c r="D22" s="35"/>
      <c r="E22" s="35"/>
      <c r="F22" s="154"/>
      <c r="G22" s="35"/>
      <c r="H22" s="35"/>
      <c r="I22" s="35"/>
      <c r="J22" s="35"/>
      <c r="K22" s="35"/>
      <c r="L22" s="154"/>
    </row>
    <row r="23" spans="1:12" x14ac:dyDescent="0.25">
      <c r="A23" s="171"/>
      <c r="B23" s="155" t="str">
        <f>[1]Arkusz1!K23</f>
        <v>Przychody finansowe</v>
      </c>
      <c r="C23" s="43">
        <f>RZiS!D33</f>
        <v>0</v>
      </c>
      <c r="D23" s="43">
        <f>RZiS!F33</f>
        <v>0</v>
      </c>
      <c r="E23" s="43">
        <f>RZiS!G33</f>
        <v>0</v>
      </c>
      <c r="F23" s="43">
        <f>RZiS!H33</f>
        <v>0</v>
      </c>
      <c r="G23" s="43">
        <f>RZiS!I33</f>
        <v>0</v>
      </c>
      <c r="H23" s="43">
        <f>RZiS!J33</f>
        <v>0</v>
      </c>
      <c r="I23" s="43">
        <f>RZiS!K33</f>
        <v>0</v>
      </c>
      <c r="J23" s="43">
        <f>RZiS!L33</f>
        <v>0</v>
      </c>
      <c r="K23" s="43">
        <f>RZiS!M33</f>
        <v>0</v>
      </c>
      <c r="L23" s="43">
        <f>RZiS!N33</f>
        <v>0</v>
      </c>
    </row>
    <row r="24" spans="1:12" x14ac:dyDescent="0.25">
      <c r="A24" s="171"/>
      <c r="B24" s="155" t="str">
        <f>[1]Arkusz1!K24</f>
        <v>Koszty  finansowe</v>
      </c>
      <c r="C24" s="43">
        <f>-RZiS!D41</f>
        <v>0</v>
      </c>
      <c r="D24" s="43">
        <f>-RZiS!F41</f>
        <v>0</v>
      </c>
      <c r="E24" s="43">
        <f>-RZiS!G41</f>
        <v>0</v>
      </c>
      <c r="F24" s="43">
        <f>-RZiS!H41</f>
        <v>0</v>
      </c>
      <c r="G24" s="43">
        <f>-RZiS!I41</f>
        <v>0</v>
      </c>
      <c r="H24" s="43">
        <f>-RZiS!J41</f>
        <v>0</v>
      </c>
      <c r="I24" s="43">
        <f>-RZiS!K41</f>
        <v>0</v>
      </c>
      <c r="J24" s="43">
        <f>-RZiS!L41</f>
        <v>0</v>
      </c>
      <c r="K24" s="43">
        <f>-RZiS!M41</f>
        <v>0</v>
      </c>
      <c r="L24" s="43">
        <f>-RZiS!N41</f>
        <v>0</v>
      </c>
    </row>
    <row r="25" spans="1:12" x14ac:dyDescent="0.25">
      <c r="A25" s="171"/>
      <c r="B25" s="527" t="s">
        <v>83</v>
      </c>
      <c r="C25" s="528">
        <f>-RZiS!D44</f>
        <v>0</v>
      </c>
      <c r="D25" s="528">
        <f>IF($D$31=0,0,-'PARAMETRY POZYCZKI'!J43)</f>
        <v>0</v>
      </c>
      <c r="E25" s="528">
        <f>IF($D$31=0,-'PARAMETRY POZYCZKI'!J43,-'PARAMETRY POZYCZKI'!J55)</f>
        <v>0</v>
      </c>
      <c r="F25" s="528">
        <f>IF($D$31=0,-'PARAMETRY POZYCZKI'!J55,-'PARAMETRY POZYCZKI'!J67)</f>
        <v>0</v>
      </c>
      <c r="G25" s="528">
        <f>IF($D$31=0,-'PARAMETRY POZYCZKI'!J67,-'PARAMETRY POZYCZKI'!J79)</f>
        <v>0</v>
      </c>
      <c r="H25" s="528">
        <f>IF($D$31=0,-'PARAMETRY POZYCZKI'!J79,-'PARAMETRY POZYCZKI'!J91)</f>
        <v>0</v>
      </c>
      <c r="I25" s="528">
        <f>IF($D$31=0,-'PARAMETRY POZYCZKI'!J91,-'PARAMETRY POZYCZKI'!J103)</f>
        <v>0</v>
      </c>
      <c r="J25" s="528">
        <f>IF($D$31=0,-'PARAMETRY POZYCZKI'!J103,-'PARAMETRY POZYCZKI'!J115)</f>
        <v>0</v>
      </c>
      <c r="K25" s="528">
        <f>IF($D$31=0,-'PARAMETRY POZYCZKI'!J115,-'PARAMETRY POZYCZKI'!J127)</f>
        <v>0</v>
      </c>
      <c r="L25" s="528">
        <f>IF($D$31=0,-'PARAMETRY POZYCZKI'!J127,-'PARAMETRY POZYCZKI'!J139)</f>
        <v>0</v>
      </c>
    </row>
    <row r="26" spans="1:12" ht="15.75" customHeight="1" x14ac:dyDescent="0.25">
      <c r="A26" s="171"/>
      <c r="B26" s="527" t="s">
        <v>84</v>
      </c>
      <c r="C26" s="528">
        <f>-RZiS!D45</f>
        <v>0</v>
      </c>
      <c r="D26" s="528">
        <f>-RZiS!F45</f>
        <v>0</v>
      </c>
      <c r="E26" s="528">
        <f>-RZiS!G45</f>
        <v>0</v>
      </c>
      <c r="F26" s="528">
        <f>-RZiS!H45</f>
        <v>0</v>
      </c>
      <c r="G26" s="43">
        <f>-RZiS!I45</f>
        <v>0</v>
      </c>
      <c r="H26" s="43">
        <f>-RZiS!J45</f>
        <v>0</v>
      </c>
      <c r="I26" s="43">
        <f>-RZiS!K45</f>
        <v>0</v>
      </c>
      <c r="J26" s="43">
        <f>-RZiS!L45</f>
        <v>0</v>
      </c>
      <c r="K26" s="43">
        <f>-RZiS!M45</f>
        <v>0</v>
      </c>
      <c r="L26" s="43">
        <f>-RZiS!N45</f>
        <v>0</v>
      </c>
    </row>
    <row r="27" spans="1:12" hidden="1" x14ac:dyDescent="0.25">
      <c r="A27" s="171"/>
      <c r="B27" s="155" t="str">
        <f>[1]Arkusz1!K25</f>
        <v>Wynik na sprzedaży i aktualizacji wartości inwestycji (+,-)</v>
      </c>
      <c r="C27" s="43"/>
      <c r="D27" s="43">
        <f>C27</f>
        <v>0</v>
      </c>
      <c r="E27" s="43">
        <f t="shared" ref="E27:L29" si="2">D27</f>
        <v>0</v>
      </c>
      <c r="F27" s="43">
        <f t="shared" si="2"/>
        <v>0</v>
      </c>
      <c r="G27" s="43">
        <f t="shared" si="2"/>
        <v>0</v>
      </c>
      <c r="H27" s="43">
        <f t="shared" si="2"/>
        <v>0</v>
      </c>
      <c r="I27" s="43">
        <f t="shared" si="2"/>
        <v>0</v>
      </c>
      <c r="J27" s="43">
        <f t="shared" si="2"/>
        <v>0</v>
      </c>
      <c r="K27" s="43">
        <f t="shared" si="2"/>
        <v>0</v>
      </c>
      <c r="L27" s="43">
        <f t="shared" si="2"/>
        <v>0</v>
      </c>
    </row>
    <row r="28" spans="1:12" hidden="1" x14ac:dyDescent="0.25">
      <c r="A28" s="171"/>
      <c r="B28" s="155" t="s">
        <v>67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2" hidden="1" x14ac:dyDescent="0.25">
      <c r="A29" s="171"/>
      <c r="B29" s="155" t="str">
        <f>[1]Arkusz1!K27</f>
        <v>Zaciągnięcie / spłata długoterminowych zobowiązań</v>
      </c>
      <c r="C29" s="43"/>
      <c r="D29" s="43">
        <f>C29</f>
        <v>0</v>
      </c>
      <c r="E29" s="43">
        <f t="shared" si="2"/>
        <v>0</v>
      </c>
      <c r="F29" s="43">
        <f t="shared" si="2"/>
        <v>0</v>
      </c>
      <c r="G29" s="43">
        <f t="shared" si="2"/>
        <v>0</v>
      </c>
      <c r="H29" s="43">
        <f t="shared" si="2"/>
        <v>0</v>
      </c>
      <c r="I29" s="43">
        <f t="shared" si="2"/>
        <v>0</v>
      </c>
      <c r="J29" s="43">
        <f t="shared" si="2"/>
        <v>0</v>
      </c>
      <c r="K29" s="43">
        <f t="shared" si="2"/>
        <v>0</v>
      </c>
      <c r="L29" s="43">
        <f t="shared" si="2"/>
        <v>0</v>
      </c>
    </row>
    <row r="30" spans="1:12" x14ac:dyDescent="0.25">
      <c r="A30" s="171"/>
      <c r="B30" s="155" t="str">
        <f>[1]Arkusz1!K28</f>
        <v>Zaciągnięcie / spłata kredytów  i pożyczek krótkoterminowych</v>
      </c>
      <c r="C30" s="43">
        <f>C31+C32+C34+C35</f>
        <v>0</v>
      </c>
      <c r="D30" s="43">
        <f>D31+D32+D34+D35</f>
        <v>0</v>
      </c>
      <c r="E30" s="43">
        <f t="shared" ref="E30:L30" si="3">E31+E32+E34+E35</f>
        <v>0</v>
      </c>
      <c r="F30" s="43">
        <f t="shared" si="3"/>
        <v>0</v>
      </c>
      <c r="G30" s="43">
        <f t="shared" si="3"/>
        <v>0</v>
      </c>
      <c r="H30" s="43">
        <f t="shared" si="3"/>
        <v>0</v>
      </c>
      <c r="I30" s="43">
        <f t="shared" si="3"/>
        <v>0</v>
      </c>
      <c r="J30" s="43">
        <f t="shared" si="3"/>
        <v>0</v>
      </c>
      <c r="K30" s="43">
        <f t="shared" si="3"/>
        <v>0</v>
      </c>
      <c r="L30" s="43">
        <f t="shared" si="3"/>
        <v>0</v>
      </c>
    </row>
    <row r="31" spans="1:12" x14ac:dyDescent="0.25">
      <c r="A31" s="171"/>
      <c r="B31" s="527" t="s">
        <v>86</v>
      </c>
      <c r="C31" s="528"/>
      <c r="D31" s="528">
        <f>IF('PARAMETRY POZYCZKI'!L43-RZiS!T3=2,0,'PARAMETRY POZYCZKI'!E4)</f>
        <v>0</v>
      </c>
      <c r="E31" s="528">
        <f>IF('PARAMETRY POZYCZKI'!L43-RZiS!T3=1,0,'PARAMETRY POZYCZKI'!E4)</f>
        <v>0</v>
      </c>
      <c r="F31" s="528"/>
      <c r="G31" s="43"/>
      <c r="H31" s="43"/>
      <c r="I31" s="43"/>
      <c r="J31" s="43"/>
      <c r="K31" s="43"/>
      <c r="L31" s="43"/>
    </row>
    <row r="32" spans="1:12" x14ac:dyDescent="0.25">
      <c r="A32" s="171"/>
      <c r="B32" s="529" t="s">
        <v>85</v>
      </c>
      <c r="C32" s="528"/>
      <c r="D32" s="528">
        <f>'plan sprzedaży i zakupów '!C31</f>
        <v>0</v>
      </c>
      <c r="E32" s="528"/>
      <c r="F32" s="528"/>
      <c r="G32" s="43"/>
      <c r="H32" s="43"/>
      <c r="I32" s="43"/>
      <c r="J32" s="43"/>
      <c r="K32" s="43"/>
      <c r="L32" s="43"/>
    </row>
    <row r="33" spans="1:12" hidden="1" x14ac:dyDescent="0.25">
      <c r="A33" s="171"/>
      <c r="B33" s="530" t="str">
        <f>[1]Arkusz1!K29</f>
        <v>Zaciągnięcie / spłata kredytów i pożyczek długoterminowych</v>
      </c>
      <c r="C33" s="528"/>
      <c r="D33" s="531">
        <f>'[2]założenia do prognozy'!U9</f>
        <v>0</v>
      </c>
      <c r="E33" s="531"/>
      <c r="F33" s="531"/>
      <c r="G33" s="14"/>
      <c r="H33" s="14"/>
      <c r="I33" s="14"/>
      <c r="J33" s="14"/>
      <c r="K33" s="14"/>
      <c r="L33" s="14"/>
    </row>
    <row r="34" spans="1:12" x14ac:dyDescent="0.25">
      <c r="A34" s="171"/>
      <c r="B34" s="527" t="s">
        <v>87</v>
      </c>
      <c r="C34" s="528"/>
      <c r="D34" s="528">
        <f>IF($D$31=0,0,-'PARAMETRY POZYCZKI'!I43)</f>
        <v>0</v>
      </c>
      <c r="E34" s="528">
        <f>IF($D$31=0,-'PARAMETRY POZYCZKI'!I43,-'PARAMETRY POZYCZKI'!I55)</f>
        <v>0</v>
      </c>
      <c r="F34" s="528">
        <f>IF($D$31=0,-'PARAMETRY POZYCZKI'!I55,-'PARAMETRY POZYCZKI'!I67)</f>
        <v>0</v>
      </c>
      <c r="G34" s="43">
        <f>IF($D$31=0,-'PARAMETRY POZYCZKI'!I67,-'PARAMETRY POZYCZKI'!I79)</f>
        <v>0</v>
      </c>
      <c r="H34" s="43">
        <f>IF($D$31=0,-'PARAMETRY POZYCZKI'!I79,-'PARAMETRY POZYCZKI'!I91)</f>
        <v>0</v>
      </c>
      <c r="I34" s="43">
        <f>IF($D$31=0,-'PARAMETRY POZYCZKI'!I91,-'PARAMETRY POZYCZKI'!I103)</f>
        <v>0</v>
      </c>
      <c r="J34" s="43">
        <f>IF($D$31=0,-'PARAMETRY POZYCZKI'!I103,-'PARAMETRY POZYCZKI'!I115)</f>
        <v>0</v>
      </c>
      <c r="K34" s="43">
        <f>IF($D$31=0,-'PARAMETRY POZYCZKI'!I115,-'PARAMETRY POZYCZKI'!I127)</f>
        <v>0</v>
      </c>
      <c r="L34" s="43">
        <f>IF($D$31=0,-'PARAMETRY POZYCZKI'!I127,-'PARAMETRY POZYCZKI'!I139)</f>
        <v>0</v>
      </c>
    </row>
    <row r="35" spans="1:12" ht="13.5" customHeight="1" x14ac:dyDescent="0.25">
      <c r="A35" s="171"/>
      <c r="B35" s="527" t="s">
        <v>88</v>
      </c>
      <c r="C35" s="528">
        <f>'plan sprzedaży i zakupów '!B25</f>
        <v>0</v>
      </c>
      <c r="D35" s="528">
        <f>'plan sprzedaży i zakupów '!C25</f>
        <v>0</v>
      </c>
      <c r="E35" s="528">
        <f>'plan sprzedaży i zakupów '!D25</f>
        <v>0</v>
      </c>
      <c r="F35" s="528">
        <f>'plan sprzedaży i zakupów '!E25</f>
        <v>0</v>
      </c>
      <c r="G35" s="43">
        <f>'plan sprzedaży i zakupów '!F25</f>
        <v>0</v>
      </c>
      <c r="H35" s="43">
        <f>'plan sprzedaży i zakupów '!G25</f>
        <v>0</v>
      </c>
      <c r="I35" s="43">
        <f>'plan sprzedaży i zakupów '!H25</f>
        <v>0</v>
      </c>
      <c r="J35" s="43">
        <f>'plan sprzedaży i zakupów '!I25</f>
        <v>0</v>
      </c>
      <c r="K35" s="43">
        <f>'plan sprzedaży i zakupów '!J25</f>
        <v>0</v>
      </c>
      <c r="L35" s="43">
        <f>'plan sprzedaży i zakupów '!K25</f>
        <v>0</v>
      </c>
    </row>
    <row r="36" spans="1:12" x14ac:dyDescent="0.25">
      <c r="A36" s="171"/>
      <c r="B36" s="155" t="s">
        <v>294</v>
      </c>
      <c r="C36" s="43">
        <f>'plan sprzedaży i zakupów '!B27</f>
        <v>0</v>
      </c>
      <c r="D36" s="43">
        <f>'plan sprzedaży i zakupów '!C27</f>
        <v>0</v>
      </c>
      <c r="E36" s="43">
        <f>'plan sprzedaży i zakupów '!D27</f>
        <v>0</v>
      </c>
      <c r="F36" s="43">
        <f>'plan sprzedaży i zakupów '!E27</f>
        <v>0</v>
      </c>
      <c r="G36" s="43">
        <f>'plan sprzedaży i zakupów '!F27</f>
        <v>0</v>
      </c>
      <c r="H36" s="43">
        <f>'plan sprzedaży i zakupów '!G27</f>
        <v>0</v>
      </c>
      <c r="I36" s="43">
        <f>'plan sprzedaży i zakupów '!H27</f>
        <v>0</v>
      </c>
      <c r="J36" s="43">
        <f>'plan sprzedaży i zakupów '!I27</f>
        <v>0</v>
      </c>
      <c r="K36" s="43">
        <f>'plan sprzedaży i zakupów '!J27</f>
        <v>0</v>
      </c>
      <c r="L36" s="43">
        <f>'plan sprzedaży i zakupów '!K27</f>
        <v>0</v>
      </c>
    </row>
    <row r="37" spans="1:12" ht="15.75" thickBot="1" x14ac:dyDescent="0.3">
      <c r="A37" s="171"/>
      <c r="B37" s="155" t="s">
        <v>90</v>
      </c>
      <c r="C37" s="43">
        <f>'plan sprzedaży i zakupów '!B28</f>
        <v>0</v>
      </c>
      <c r="D37" s="43">
        <f>'plan sprzedaży i zakupów '!C28</f>
        <v>0</v>
      </c>
      <c r="E37" s="43">
        <f>'plan sprzedaży i zakupów '!D28</f>
        <v>0</v>
      </c>
      <c r="F37" s="43">
        <f>'plan sprzedaży i zakupów '!E28</f>
        <v>0</v>
      </c>
      <c r="G37" s="43">
        <f>'plan sprzedaży i zakupów '!F28</f>
        <v>0</v>
      </c>
      <c r="H37" s="43">
        <f>'plan sprzedaży i zakupów '!G28</f>
        <v>0</v>
      </c>
      <c r="I37" s="43">
        <f>'plan sprzedaży i zakupów '!H28</f>
        <v>0</v>
      </c>
      <c r="J37" s="43">
        <f>'plan sprzedaży i zakupów '!I28</f>
        <v>0</v>
      </c>
      <c r="K37" s="43">
        <f>'plan sprzedaży i zakupów '!J28</f>
        <v>0</v>
      </c>
      <c r="L37" s="43">
        <f>'plan sprzedaży i zakupów '!K28</f>
        <v>0</v>
      </c>
    </row>
    <row r="38" spans="1:12" ht="15.75" hidden="1" thickBot="1" x14ac:dyDescent="0.3">
      <c r="A38" s="171"/>
      <c r="B38" s="155" t="str">
        <f>[1]Arkusz1!K32</f>
        <v>Inne wypłaty z zysku netto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15.75" hidden="1" thickBot="1" x14ac:dyDescent="0.3">
      <c r="A39" s="171"/>
      <c r="B39" s="155" t="s">
        <v>89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5.75" thickBot="1" x14ac:dyDescent="0.3">
      <c r="A40" s="172" t="s">
        <v>24</v>
      </c>
      <c r="B40" s="156" t="str">
        <f>[1]Arkusz1!K34</f>
        <v>Przepływy z działalności finansowej</v>
      </c>
      <c r="C40" s="36">
        <f>C23+C24+C28+C30+C36-C37+C39</f>
        <v>0</v>
      </c>
      <c r="D40" s="36">
        <f>D23+D24+D28+D30+D36+D37+D39</f>
        <v>0</v>
      </c>
      <c r="E40" s="36">
        <f t="shared" ref="E40:L40" si="4">E23+E24+E28+E30+E36+E37+E39</f>
        <v>0</v>
      </c>
      <c r="F40" s="36">
        <f t="shared" si="4"/>
        <v>0</v>
      </c>
      <c r="G40" s="36">
        <f t="shared" si="4"/>
        <v>0</v>
      </c>
      <c r="H40" s="36">
        <f t="shared" si="4"/>
        <v>0</v>
      </c>
      <c r="I40" s="36">
        <f t="shared" si="4"/>
        <v>0</v>
      </c>
      <c r="J40" s="36">
        <f t="shared" si="4"/>
        <v>0</v>
      </c>
      <c r="K40" s="36">
        <f t="shared" si="4"/>
        <v>0</v>
      </c>
      <c r="L40" s="36">
        <f t="shared" si="4"/>
        <v>0</v>
      </c>
    </row>
    <row r="41" spans="1:12" ht="15.75" thickBot="1" x14ac:dyDescent="0.3">
      <c r="A41" s="157"/>
      <c r="B41" s="157" t="str">
        <f>[1]Arkusz1!K35</f>
        <v>Działalność Inwestycyjna</v>
      </c>
      <c r="C41" s="16"/>
      <c r="D41" s="16"/>
      <c r="E41" s="16"/>
      <c r="F41" s="158"/>
      <c r="G41" s="16"/>
      <c r="H41" s="16"/>
      <c r="I41" s="16"/>
      <c r="J41" s="16"/>
      <c r="K41" s="16"/>
      <c r="L41" s="158"/>
    </row>
    <row r="42" spans="1:12" x14ac:dyDescent="0.25">
      <c r="A42" s="173"/>
      <c r="B42" s="159" t="s">
        <v>82</v>
      </c>
      <c r="C42" s="178"/>
      <c r="D42" s="178">
        <f>'plan sprzedaży i zakupów '!C22</f>
        <v>0</v>
      </c>
      <c r="E42" s="178"/>
      <c r="F42" s="178"/>
      <c r="G42" s="178"/>
      <c r="H42" s="178"/>
      <c r="I42" s="178"/>
      <c r="J42" s="178"/>
      <c r="K42" s="178"/>
      <c r="L42" s="178"/>
    </row>
    <row r="43" spans="1:12" ht="15.75" thickBot="1" x14ac:dyDescent="0.3">
      <c r="A43" s="173"/>
      <c r="B43" s="159" t="s">
        <v>81</v>
      </c>
      <c r="C43" s="178">
        <f>-'Parametry nakładów i pożyczki'!C44</f>
        <v>0</v>
      </c>
      <c r="D43" s="178">
        <f>-'Parametry nakładów i pożyczki'!C22</f>
        <v>0</v>
      </c>
      <c r="E43" s="178"/>
      <c r="F43" s="178"/>
      <c r="G43" s="178"/>
      <c r="H43" s="178"/>
      <c r="I43" s="178"/>
      <c r="J43" s="178"/>
      <c r="K43" s="178"/>
      <c r="L43" s="178"/>
    </row>
    <row r="44" spans="1:12" ht="15.75" hidden="1" thickBot="1" x14ac:dyDescent="0.3">
      <c r="A44" s="173"/>
      <c r="B44" s="159" t="str">
        <f>[1]Arkusz1!K39</f>
        <v xml:space="preserve">Inne zmiany  aktywów trwałych 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15.75" hidden="1" thickBot="1" x14ac:dyDescent="0.3">
      <c r="A45" s="173"/>
      <c r="B45" s="160" t="str">
        <f>[1]Arkusz1!K40</f>
        <v>Dywidendy i udziały w zyskach</v>
      </c>
      <c r="C45" s="14"/>
      <c r="D45" s="14">
        <f>C45</f>
        <v>0</v>
      </c>
      <c r="E45" s="14">
        <f t="shared" ref="E45:F45" si="5">D45</f>
        <v>0</v>
      </c>
      <c r="F45" s="14">
        <f t="shared" si="5"/>
        <v>0</v>
      </c>
      <c r="G45" s="14">
        <f>F45</f>
        <v>0</v>
      </c>
      <c r="H45" s="14">
        <f>G45</f>
        <v>0</v>
      </c>
      <c r="I45" s="14">
        <f>H45</f>
        <v>0</v>
      </c>
      <c r="J45" s="14">
        <f>I45</f>
        <v>0</v>
      </c>
      <c r="K45" s="14">
        <f>J45</f>
        <v>0</v>
      </c>
      <c r="L45" s="14">
        <f t="shared" ref="L45" si="6">K45</f>
        <v>0</v>
      </c>
    </row>
    <row r="46" spans="1:12" ht="15.75" hidden="1" thickBot="1" x14ac:dyDescent="0.3">
      <c r="A46" s="173"/>
      <c r="B46" s="159" t="str">
        <f>[1]Arkusz1!K41</f>
        <v>Inne</v>
      </c>
      <c r="C46" s="27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15.75" thickBot="1" x14ac:dyDescent="0.3">
      <c r="A47" s="174" t="s">
        <v>29</v>
      </c>
      <c r="B47" s="161" t="str">
        <f>[1]Arkusz1!K42</f>
        <v>Przepływy z działalności inwestycyjnej</v>
      </c>
      <c r="C47" s="17">
        <f t="shared" ref="C47:L47" si="7">SUM(C42:C46)</f>
        <v>0</v>
      </c>
      <c r="D47" s="17">
        <f t="shared" si="7"/>
        <v>0</v>
      </c>
      <c r="E47" s="17">
        <f t="shared" si="7"/>
        <v>0</v>
      </c>
      <c r="F47" s="17">
        <f t="shared" si="7"/>
        <v>0</v>
      </c>
      <c r="G47" s="17">
        <f t="shared" si="7"/>
        <v>0</v>
      </c>
      <c r="H47" s="17">
        <f t="shared" si="7"/>
        <v>0</v>
      </c>
      <c r="I47" s="17">
        <f t="shared" si="7"/>
        <v>0</v>
      </c>
      <c r="J47" s="17">
        <f t="shared" si="7"/>
        <v>0</v>
      </c>
      <c r="K47" s="17">
        <f t="shared" si="7"/>
        <v>0</v>
      </c>
      <c r="L47" s="17">
        <f t="shared" si="7"/>
        <v>0</v>
      </c>
    </row>
    <row r="48" spans="1:12" ht="15.75" thickBot="1" x14ac:dyDescent="0.3">
      <c r="A48" s="175" t="s">
        <v>30</v>
      </c>
      <c r="B48" s="162" t="str">
        <f>[1]Arkusz1!K43</f>
        <v>Przepływy pieniężne ogółem (A+B+C)</v>
      </c>
      <c r="C48" s="18">
        <f>SUM(C21,C40,C47)</f>
        <v>0</v>
      </c>
      <c r="D48" s="18">
        <f>SUM(D21,D40,D47)</f>
        <v>0</v>
      </c>
      <c r="E48" s="18">
        <f t="shared" ref="E48:L48" si="8">SUM(E21,E40,E47)</f>
        <v>0</v>
      </c>
      <c r="F48" s="18">
        <f t="shared" si="8"/>
        <v>0</v>
      </c>
      <c r="G48" s="18">
        <f t="shared" si="8"/>
        <v>0</v>
      </c>
      <c r="H48" s="18">
        <f t="shared" si="8"/>
        <v>0</v>
      </c>
      <c r="I48" s="18">
        <f t="shared" si="8"/>
        <v>0</v>
      </c>
      <c r="J48" s="18">
        <f t="shared" si="8"/>
        <v>0</v>
      </c>
      <c r="K48" s="18">
        <f t="shared" si="8"/>
        <v>0</v>
      </c>
      <c r="L48" s="18">
        <f t="shared" si="8"/>
        <v>0</v>
      </c>
    </row>
    <row r="49" spans="1:12" ht="15.75" thickBot="1" x14ac:dyDescent="0.3">
      <c r="A49" s="176" t="s">
        <v>31</v>
      </c>
      <c r="B49" s="163" t="str">
        <f>[1]Arkusz1!K44</f>
        <v>Środki pieniężne na początek okresu</v>
      </c>
      <c r="C49" s="19"/>
      <c r="D49" s="19">
        <f>C50</f>
        <v>0</v>
      </c>
      <c r="E49" s="19">
        <f t="shared" ref="E49:L49" si="9">D50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</row>
    <row r="50" spans="1:12" x14ac:dyDescent="0.25">
      <c r="A50" s="177" t="s">
        <v>32</v>
      </c>
      <c r="B50" s="164" t="str">
        <f>[1]Arkusz1!K45</f>
        <v>Środki pieniężne na koniec okresu</v>
      </c>
      <c r="C50" s="165">
        <f>bilans!C62</f>
        <v>0</v>
      </c>
      <c r="D50" s="165">
        <f>D48+D49</f>
        <v>0</v>
      </c>
      <c r="E50" s="165">
        <f t="shared" ref="E50:L50" si="10">E48+E49</f>
        <v>0</v>
      </c>
      <c r="F50" s="165">
        <f t="shared" si="10"/>
        <v>0</v>
      </c>
      <c r="G50" s="165">
        <f t="shared" si="10"/>
        <v>0</v>
      </c>
      <c r="H50" s="165">
        <f t="shared" si="10"/>
        <v>0</v>
      </c>
      <c r="I50" s="165">
        <f t="shared" si="10"/>
        <v>0</v>
      </c>
      <c r="J50" s="165">
        <f t="shared" si="10"/>
        <v>0</v>
      </c>
      <c r="K50" s="165">
        <f t="shared" si="10"/>
        <v>0</v>
      </c>
      <c r="L50" s="165">
        <f t="shared" si="10"/>
        <v>0</v>
      </c>
    </row>
    <row r="52" spans="1:12" x14ac:dyDescent="0.25">
      <c r="C52" s="277">
        <f>C48-wskaźniki!B27</f>
        <v>0</v>
      </c>
      <c r="D52" s="277">
        <f>D48-wskaźniki!C27</f>
        <v>0</v>
      </c>
      <c r="E52" s="277">
        <f>E48-wskaźniki!D27</f>
        <v>0</v>
      </c>
      <c r="F52" s="277">
        <f>F48-wskaźniki!E27</f>
        <v>0</v>
      </c>
      <c r="G52" s="277">
        <f>G48-wskaźniki!F27</f>
        <v>0</v>
      </c>
      <c r="H52" s="277">
        <f>H48-wskaźniki!G27</f>
        <v>0</v>
      </c>
      <c r="I52" s="277">
        <f>I48-wskaźniki!H27</f>
        <v>0</v>
      </c>
      <c r="J52" s="277">
        <f>J48-wskaźniki!I27</f>
        <v>0</v>
      </c>
      <c r="K52" s="277">
        <f>K48-wskaźniki!J27</f>
        <v>0</v>
      </c>
      <c r="L52" s="277">
        <f>L48-wskaźniki!K27</f>
        <v>0</v>
      </c>
    </row>
    <row r="54" spans="1:12" x14ac:dyDescent="0.25">
      <c r="D54" s="44"/>
      <c r="E54" s="44"/>
      <c r="F54" s="44"/>
      <c r="G54" s="44"/>
      <c r="H54" s="44"/>
      <c r="I54" s="44"/>
      <c r="J54" s="44"/>
      <c r="K54" s="44"/>
      <c r="L54" s="44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9"/>
  <sheetViews>
    <sheetView showGridLines="0" topLeftCell="A12" zoomScale="190" zoomScaleNormal="190" zoomScaleSheetLayoutView="166" workbookViewId="0">
      <selection activeCell="C30" sqref="C30"/>
    </sheetView>
  </sheetViews>
  <sheetFormatPr defaultRowHeight="15" x14ac:dyDescent="0.25"/>
  <cols>
    <col min="1" max="1" width="56.85546875" customWidth="1"/>
    <col min="2" max="2" width="9.140625" customWidth="1"/>
    <col min="3" max="3" width="10.140625" bestFit="1" customWidth="1"/>
    <col min="4" max="4" width="9.85546875" bestFit="1" customWidth="1"/>
    <col min="5" max="5" width="9.5703125" customWidth="1"/>
    <col min="6" max="6" width="9.28515625" hidden="1" customWidth="1"/>
    <col min="7" max="9" width="9.42578125" hidden="1" customWidth="1"/>
    <col min="10" max="11" width="9.28515625" hidden="1" customWidth="1"/>
    <col min="12" max="21" width="9.140625" hidden="1" customWidth="1"/>
    <col min="22" max="23" width="0" hidden="1" customWidth="1"/>
  </cols>
  <sheetData>
    <row r="1" spans="1:23" s="9" customFormat="1" ht="24.75" thickBot="1" x14ac:dyDescent="0.25">
      <c r="A1" s="115" t="s">
        <v>49</v>
      </c>
      <c r="B1" s="116">
        <f>RZiS!D6</f>
        <v>2023</v>
      </c>
      <c r="C1" s="116">
        <f>RZiS!F6</f>
        <v>2024</v>
      </c>
      <c r="D1" s="116">
        <f>RZiS!G6</f>
        <v>2025</v>
      </c>
      <c r="E1" s="116">
        <f>RZiS!H6</f>
        <v>2026</v>
      </c>
      <c r="F1" s="116">
        <f>RZiS!I6</f>
        <v>0</v>
      </c>
      <c r="G1" s="116">
        <f>RZiS!J6</f>
        <v>0</v>
      </c>
      <c r="H1" s="116" t="str">
        <f>RZiS!K6</f>
        <v>wpisz rok</v>
      </c>
      <c r="I1" s="116">
        <f>RZiS!L6</f>
        <v>0</v>
      </c>
      <c r="J1" s="116">
        <f>RZiS!M6</f>
        <v>0</v>
      </c>
      <c r="K1" s="116">
        <f>RZiS!N6</f>
        <v>0</v>
      </c>
      <c r="L1" s="116">
        <f>RZiS!O6</f>
        <v>0</v>
      </c>
      <c r="M1" s="116">
        <f>RZiS!P6</f>
        <v>0</v>
      </c>
      <c r="N1" s="116" t="str">
        <f>RZiS!Q6</f>
        <v>za ostatni kwartał</v>
      </c>
      <c r="O1" s="116">
        <f>RZiS!R6</f>
        <v>0</v>
      </c>
      <c r="P1" s="116">
        <f>RZiS!S6</f>
        <v>0</v>
      </c>
      <c r="Q1" s="116">
        <f>RZiS!T6</f>
        <v>0</v>
      </c>
      <c r="R1" s="116">
        <f>RZiS!U6</f>
        <v>0</v>
      </c>
      <c r="S1" s="116">
        <f>RZiS!V6</f>
        <v>0</v>
      </c>
      <c r="T1" s="116">
        <f>RZiS!W6</f>
        <v>0</v>
      </c>
      <c r="U1" s="116">
        <f>RZiS!X6</f>
        <v>0</v>
      </c>
      <c r="V1" s="116">
        <f>RZiS!Y6</f>
        <v>0</v>
      </c>
      <c r="W1" s="116">
        <f>RZiS!Z6</f>
        <v>0</v>
      </c>
    </row>
    <row r="2" spans="1:23" s="9" customFormat="1" ht="12.75" hidden="1" x14ac:dyDescent="0.2">
      <c r="A2" s="117" t="s">
        <v>50</v>
      </c>
      <c r="B2" s="20">
        <f>'[2] bilans '!E4/'[2] bilans '!E22</f>
        <v>5.3802775116670528E-4</v>
      </c>
      <c r="C2" s="21">
        <f>'[2] bilans '!E4/'[2] bilans '!E22</f>
        <v>5.3802775116670528E-4</v>
      </c>
      <c r="D2" s="21">
        <f>'[2] bilans '!F4/'[2] bilans '!F22</f>
        <v>2.2539680547490533E-4</v>
      </c>
      <c r="E2" s="21">
        <f>'[2] bilans '!G4/'[2] bilans '!G22</f>
        <v>1.2818986354138384E-4</v>
      </c>
      <c r="F2" s="21">
        <f>'[2] bilans '!H4/'[2] bilans '!H22</f>
        <v>1.1333623656177414E-4</v>
      </c>
      <c r="G2" s="21">
        <f>'[2] bilans '!I4/'[2] bilans '!I22</f>
        <v>1.1153285907093063E-4</v>
      </c>
      <c r="H2" s="29">
        <f>'[2] bilans '!J4/'[2] bilans '!J22</f>
        <v>1.0977399805934273E-4</v>
      </c>
      <c r="I2" s="28">
        <f>'[2] bilans '!K4/'[2] bilans '!K22</f>
        <v>1.0648825771837067E-4</v>
      </c>
      <c r="J2" s="22">
        <f>'[2] bilans '!L4/'[2] bilans '!L22</f>
        <v>1.1535190206579261E-4</v>
      </c>
      <c r="K2" s="118"/>
      <c r="L2" s="502"/>
      <c r="M2" s="502"/>
      <c r="N2" s="502"/>
      <c r="O2" s="502"/>
    </row>
    <row r="3" spans="1:23" s="9" customFormat="1" ht="12.75" hidden="1" x14ac:dyDescent="0.2">
      <c r="A3" s="119" t="s">
        <v>51</v>
      </c>
      <c r="B3" s="20">
        <f>'[2] bilans '!E4/'[2] bilans '!E11</f>
        <v>5.3831738085654147E-4</v>
      </c>
      <c r="C3" s="24">
        <f>'[2] bilans '!E4/'[2] bilans '!E11</f>
        <v>5.3831738085654147E-4</v>
      </c>
      <c r="D3" s="24">
        <f>'[2] bilans '!F4/'[2] bilans '!F11</f>
        <v>2.2544762064840139E-4</v>
      </c>
      <c r="E3" s="24">
        <f>'[2] bilans '!G4/'[2] bilans '!G11</f>
        <v>1.2820629828926667E-4</v>
      </c>
      <c r="F3" s="24">
        <f>'[2] bilans '!H4/'[2] bilans '!H11</f>
        <v>1.1334908312027271E-4</v>
      </c>
      <c r="G3" s="24">
        <f>'[2] bilans '!I4/'[2] bilans '!I11</f>
        <v>1.1154530003715969E-4</v>
      </c>
      <c r="H3" s="30">
        <f>'[2] bilans '!J4/'[2] bilans '!J11</f>
        <v>1.0978604971295086E-4</v>
      </c>
      <c r="I3" s="23">
        <f>'[2] bilans '!K4/'[2] bilans '!K11</f>
        <v>1.0649959867508128E-4</v>
      </c>
      <c r="J3" s="25">
        <f>'[2] bilans '!L4/'[2] bilans '!L11</f>
        <v>1.1536520966215937E-4</v>
      </c>
      <c r="K3" s="118"/>
      <c r="L3" s="502"/>
      <c r="M3" s="502"/>
      <c r="N3" s="502"/>
      <c r="O3" s="502"/>
    </row>
    <row r="4" spans="1:23" s="9" customFormat="1" ht="3.75" customHeight="1" x14ac:dyDescent="0.2">
      <c r="A4" s="120"/>
      <c r="B4" s="31"/>
      <c r="C4" s="31"/>
      <c r="D4" s="31"/>
      <c r="E4" s="31"/>
      <c r="F4" s="31"/>
      <c r="G4" s="31"/>
      <c r="H4" s="31"/>
      <c r="I4" s="31"/>
      <c r="J4" s="32"/>
      <c r="K4" s="118"/>
      <c r="L4" s="502"/>
      <c r="M4" s="502"/>
      <c r="N4" s="502"/>
      <c r="O4" s="502"/>
      <c r="P4" s="9" t="s">
        <v>400</v>
      </c>
    </row>
    <row r="5" spans="1:23" s="9" customFormat="1" ht="20.100000000000001" customHeight="1" x14ac:dyDescent="0.2">
      <c r="A5" s="179" t="s">
        <v>52</v>
      </c>
      <c r="B5" s="20" t="e">
        <f>bilans!C83/bilans!C93</f>
        <v>#DIV/0!</v>
      </c>
      <c r="C5" s="20" t="e">
        <f>bilans!D83/bilans!D93</f>
        <v>#DIV/0!</v>
      </c>
      <c r="D5" s="20" t="e">
        <f>bilans!E83/bilans!E93</f>
        <v>#DIV/0!</v>
      </c>
      <c r="E5" s="20" t="e">
        <f>bilans!F83/bilans!F93</f>
        <v>#DIV/0!</v>
      </c>
      <c r="F5" s="20" t="e">
        <f>bilans!G83/bilans!G93</f>
        <v>#DIV/0!</v>
      </c>
      <c r="G5" s="20" t="e">
        <f>bilans!H83/bilans!H93</f>
        <v>#DIV/0!</v>
      </c>
      <c r="H5" s="20" t="e">
        <f>bilans!I83/bilans!I93</f>
        <v>#DIV/0!</v>
      </c>
      <c r="I5" s="20" t="e">
        <f>bilans!J83/bilans!J93</f>
        <v>#DIV/0!</v>
      </c>
      <c r="J5" s="180" t="e">
        <f>bilans!K83/bilans!K93</f>
        <v>#DIV/0!</v>
      </c>
      <c r="K5" s="181" t="e">
        <f>bilans!L83/bilans!L93</f>
        <v>#DIV/0!</v>
      </c>
      <c r="L5" s="9" t="e">
        <f>IF($D$5&lt;$M$31,$M$37,0)</f>
        <v>#DIV/0!</v>
      </c>
      <c r="M5" s="9" t="e">
        <f>IF(AND($D$5&gt;=$M$31,$D$5&lt;$N$31),$N$37,0)</f>
        <v>#DIV/0!</v>
      </c>
      <c r="N5" s="9" t="e">
        <f>IF(AND($D$5&gt;=$N$31,$D$5&lt;$O$31),$O$37,0)</f>
        <v>#DIV/0!</v>
      </c>
      <c r="O5" s="9" t="e">
        <f>IF($D$5&gt;=$O$31,$P$37,0)</f>
        <v>#DIV/0!</v>
      </c>
      <c r="P5" s="9" t="e">
        <f>$Q$31*(L5+M5+N5+O5)</f>
        <v>#DIV/0!</v>
      </c>
    </row>
    <row r="6" spans="1:23" s="9" customFormat="1" ht="12.75" hidden="1" x14ac:dyDescent="0.2">
      <c r="A6" s="182" t="s">
        <v>53</v>
      </c>
      <c r="B6" s="20">
        <f>'[2] bilans '!E24/'[2] bilans '!E4</f>
        <v>1374.8123670226123</v>
      </c>
      <c r="C6" s="24">
        <f>'[2] bilans '!E24/'[2] bilans '!E4</f>
        <v>1374.8123670226123</v>
      </c>
      <c r="D6" s="24">
        <f>'[2] bilans '!F24/'[2] bilans '!F4</f>
        <v>2182.933446939544</v>
      </c>
      <c r="E6" s="24">
        <f>'[2] bilans '!G24/'[2] bilans '!G4</f>
        <v>3112.3835469982596</v>
      </c>
      <c r="F6" s="24">
        <f>'[2] bilans '!H24/'[2] bilans '!H4</f>
        <v>3451.7249211141043</v>
      </c>
      <c r="G6" s="24">
        <f>'[2] bilans '!I24/'[2] bilans '!I4</f>
        <v>3843.7446223622796</v>
      </c>
      <c r="H6" s="30">
        <f>'[2] bilans '!J24/'[2] bilans '!J4</f>
        <v>4301.9879762782675</v>
      </c>
      <c r="I6" s="23">
        <f>'[2] bilans '!K24/'[2] bilans '!K4</f>
        <v>4834.3033526158715</v>
      </c>
      <c r="J6" s="30">
        <f>'[2] bilans '!L24/'[2] bilans '!L4</f>
        <v>4831.227364160075</v>
      </c>
      <c r="K6" s="183">
        <f>'[2] bilans '!M24/'[2] bilans '!M4</f>
        <v>4809.0316833503084</v>
      </c>
    </row>
    <row r="7" spans="1:23" s="9" customFormat="1" ht="12.75" hidden="1" x14ac:dyDescent="0.2">
      <c r="A7" s="182" t="s">
        <v>54</v>
      </c>
      <c r="B7" s="20">
        <f>'[2]BILANS szczegółowy'!D93/'[2]BILANS szczegółowy'!D41</f>
        <v>0.86044772902596511</v>
      </c>
      <c r="C7" s="20">
        <f>'[2]BILANS szczegółowy'!E93/'[2]BILANS szczegółowy'!E41</f>
        <v>2.22546764362751</v>
      </c>
      <c r="D7" s="20">
        <f>'[2]BILANS szczegółowy'!F93/'[2]BILANS szczegółowy'!F41</f>
        <v>4.3185787225517824</v>
      </c>
      <c r="E7" s="20">
        <f>'[2]BILANS szczegółowy'!G93/'[2]BILANS szczegółowy'!G41</f>
        <v>4.8279028500548584</v>
      </c>
      <c r="F7" s="20">
        <f>'[2]BILANS szczegółowy'!H93/'[2]BILANS szczegółowy'!H41</f>
        <v>3.8205003770242016</v>
      </c>
      <c r="G7" s="20">
        <f>'[2]BILANS szczegółowy'!I93/'[2]BILANS szczegółowy'!I41</f>
        <v>2.9372843177522494</v>
      </c>
      <c r="H7" s="20">
        <f>'[2]BILANS szczegółowy'!J93/'[2]BILANS szczegółowy'!J41</f>
        <v>2.3511039254659365</v>
      </c>
      <c r="I7" s="20">
        <f>'[2]BILANS szczegółowy'!K93/'[2]BILANS szczegółowy'!K41</f>
        <v>1.9193891499025733</v>
      </c>
      <c r="J7" s="20">
        <f>'[2]BILANS szczegółowy'!L93/'[2]BILANS szczegółowy'!L41</f>
        <v>1.5778079918037742</v>
      </c>
      <c r="K7" s="184">
        <f>'[2]BILANS szczegółowy'!M93/'[2]BILANS szczegółowy'!M41</f>
        <v>1.7162526450021263</v>
      </c>
    </row>
    <row r="8" spans="1:23" s="9" customFormat="1" ht="12.75" hidden="1" x14ac:dyDescent="0.2">
      <c r="A8" s="185" t="s">
        <v>55</v>
      </c>
      <c r="B8" s="20">
        <f>('[2] bilans '!E24+'[2] bilans '!E29)/'[2] bilans '!E4</f>
        <v>1374.8123670226123</v>
      </c>
      <c r="C8" s="186">
        <f>('[2] bilans '!E24+'[2] bilans '!E29)/'[2] bilans '!E4</f>
        <v>1374.8123670226123</v>
      </c>
      <c r="D8" s="186">
        <f>('[2] bilans '!F24+'[2] bilans '!F29)/'[2] bilans '!F4</f>
        <v>2182.933446939544</v>
      </c>
      <c r="E8" s="186">
        <f>('[2] bilans '!G24+'[2] bilans '!G29)/'[2] bilans '!G4</f>
        <v>3112.3835469982596</v>
      </c>
      <c r="F8" s="186">
        <f>('[2] bilans '!H24+'[2] bilans '!H29)/'[2] bilans '!H4</f>
        <v>3451.7249211141043</v>
      </c>
      <c r="G8" s="186">
        <f>('[2] bilans '!I24+'[2] bilans '!I29)/'[2] bilans '!I4</f>
        <v>3843.7446223622796</v>
      </c>
      <c r="H8" s="187">
        <f>('[2] bilans '!J24+'[2] bilans '!J29)/'[2] bilans '!J4</f>
        <v>4301.9879762782675</v>
      </c>
      <c r="I8" s="188">
        <f>('[2] bilans '!K24+'[2] bilans '!K29)/'[2] bilans '!K4</f>
        <v>4834.3033526158715</v>
      </c>
      <c r="J8" s="187">
        <f>('[2] bilans '!L24+'[2] bilans '!L29)/'[2] bilans '!L4</f>
        <v>4831.227364160075</v>
      </c>
      <c r="K8" s="189">
        <f>('[2] bilans '!M24+'[2] bilans '!M29)/'[2] bilans '!M4</f>
        <v>4809.0316833503084</v>
      </c>
    </row>
    <row r="9" spans="1:23" s="9" customFormat="1" ht="4.5" customHeight="1" x14ac:dyDescent="0.2">
      <c r="A9" s="190"/>
      <c r="B9" s="191"/>
      <c r="C9" s="192"/>
      <c r="D9" s="192"/>
      <c r="E9" s="192"/>
      <c r="F9" s="192"/>
      <c r="G9" s="192"/>
      <c r="H9" s="192"/>
      <c r="I9" s="192"/>
      <c r="J9" s="192"/>
      <c r="K9" s="193"/>
    </row>
    <row r="10" spans="1:23" s="9" customFormat="1" ht="12.75" hidden="1" x14ac:dyDescent="0.2">
      <c r="A10" s="194" t="s">
        <v>56</v>
      </c>
      <c r="B10" s="195">
        <f>'[2]BILANS szczegółowy'!D102/'[2]BILANS szczegółowy'!D83</f>
        <v>0.71999932971847458</v>
      </c>
      <c r="C10" s="195">
        <f>'[2]BILANS szczegółowy'!E102/'[2]BILANS szczegółowy'!E83</f>
        <v>1.3026041885368915</v>
      </c>
      <c r="D10" s="195">
        <f>'[2]BILANS szczegółowy'!F102/'[2]BILANS szczegółowy'!F83</f>
        <v>1.7335183299037529</v>
      </c>
      <c r="E10" s="195">
        <f>'[2]BILANS szczegółowy'!G102/'[2]BILANS szczegółowy'!G83</f>
        <v>1.7789183940854372</v>
      </c>
      <c r="F10" s="195">
        <f>'[2]BILANS szczegółowy'!H102/'[2]BILANS szczegółowy'!H83</f>
        <v>1.5518215038541576</v>
      </c>
      <c r="G10" s="195">
        <f>'[2]BILANS szczegółowy'!I102/'[2]BILANS szczegółowy'!I83</f>
        <v>1.3342038767214415</v>
      </c>
      <c r="H10" s="195">
        <f>'[2]BILANS szczegółowy'!J102/'[2]BILANS szczegółowy'!J83</f>
        <v>1.1582396501854761</v>
      </c>
      <c r="I10" s="195">
        <f>'[2]BILANS szczegółowy'!K102/'[2]BILANS szczegółowy'!K83</f>
        <v>1.0102558205172363</v>
      </c>
      <c r="J10" s="195">
        <f>'[2]BILANS szczegółowy'!L102/'[2]BILANS szczegółowy'!L83</f>
        <v>0.87349970092780516</v>
      </c>
      <c r="K10" s="196">
        <f>'[2]BILANS szczegółowy'!M102/'[2]BILANS szczegółowy'!M83</f>
        <v>0.90425162737329567</v>
      </c>
    </row>
    <row r="11" spans="1:23" s="9" customFormat="1" ht="12.75" hidden="1" x14ac:dyDescent="0.2">
      <c r="A11" s="197" t="s">
        <v>57</v>
      </c>
      <c r="B11" s="195">
        <f>'[2]BILANS szczegółowy'!D102/'[2]BILANS szczegółowy'!D5</f>
        <v>0.88615963306487477</v>
      </c>
      <c r="C11" s="195">
        <f>'[2]BILANS szczegółowy'!E102/'[2]BILANS szczegółowy'!E5</f>
        <v>0.68790744723784769</v>
      </c>
      <c r="D11" s="195">
        <f>'[2]BILANS szczegółowy'!F102/'[2]BILANS szczegółowy'!F5</f>
        <v>0.68278720137084892</v>
      </c>
      <c r="E11" s="195">
        <f>'[2]BILANS szczegółowy'!G102/'[2]BILANS szczegółowy'!G5</f>
        <v>0.67905873635178104</v>
      </c>
      <c r="F11" s="195">
        <f>'[2]BILANS szczegółowy'!H102/'[2]BILANS szczegółowy'!H5</f>
        <v>0.66391284003450612</v>
      </c>
      <c r="G11" s="195">
        <f>'[2]BILANS szczegółowy'!I102/'[2]BILANS szczegółowy'!I5</f>
        <v>0.65105591377939431</v>
      </c>
      <c r="H11" s="195">
        <f>'[2]BILANS szczegółowy'!J102/'[2]BILANS szczegółowy'!J5</f>
        <v>0.63903202820365257</v>
      </c>
      <c r="I11" s="195">
        <f>'[2]BILANS szczegółowy'!K102/'[2]BILANS szczegółowy'!K5</f>
        <v>0.62888407527027834</v>
      </c>
      <c r="J11" s="195">
        <f>'[2]BILANS szczegółowy'!L102/'[2]BILANS szczegółowy'!L5</f>
        <v>0.61775943962062174</v>
      </c>
      <c r="K11" s="196">
        <f>'[2]BILANS szczegółowy'!M102/'[2]BILANS szczegółowy'!M5</f>
        <v>0.61775943962062174</v>
      </c>
    </row>
    <row r="12" spans="1:23" s="9" customFormat="1" ht="20.100000000000001" customHeight="1" x14ac:dyDescent="0.2">
      <c r="A12" s="630" t="s">
        <v>58</v>
      </c>
      <c r="B12" s="631" t="e">
        <f>bilans!C93/bilans!C80</f>
        <v>#DIV/0!</v>
      </c>
      <c r="C12" s="631" t="e">
        <f>bilans!D93/bilans!D80</f>
        <v>#DIV/0!</v>
      </c>
      <c r="D12" s="631" t="e">
        <f>bilans!E93/bilans!E80</f>
        <v>#DIV/0!</v>
      </c>
      <c r="E12" s="631" t="e">
        <f>bilans!F93/bilans!F80</f>
        <v>#DIV/0!</v>
      </c>
      <c r="F12" s="195" t="e">
        <f>bilans!G93/bilans!G80</f>
        <v>#DIV/0!</v>
      </c>
      <c r="G12" s="195" t="e">
        <f>bilans!H93/bilans!H80</f>
        <v>#DIV/0!</v>
      </c>
      <c r="H12" s="195" t="e">
        <f>bilans!I93/bilans!I80</f>
        <v>#DIV/0!</v>
      </c>
      <c r="I12" s="195" t="e">
        <f>bilans!J93/bilans!J80</f>
        <v>#DIV/0!</v>
      </c>
      <c r="J12" s="195" t="e">
        <f>bilans!K93/bilans!K80</f>
        <v>#DIV/0!</v>
      </c>
      <c r="K12" s="196" t="e">
        <f>bilans!L93/bilans!L80</f>
        <v>#DIV/0!</v>
      </c>
    </row>
    <row r="13" spans="1:23" s="9" customFormat="1" ht="20.100000000000001" customHeight="1" x14ac:dyDescent="0.2">
      <c r="A13" s="632" t="s">
        <v>59</v>
      </c>
      <c r="B13" s="631" t="e">
        <f>bilans!C109/bilans!C93</f>
        <v>#DIV/0!</v>
      </c>
      <c r="C13" s="631" t="e">
        <f>bilans!D109/bilans!D93</f>
        <v>#DIV/0!</v>
      </c>
      <c r="D13" s="631" t="e">
        <f>bilans!E109/bilans!E93</f>
        <v>#DIV/0!</v>
      </c>
      <c r="E13" s="631" t="e">
        <f>bilans!F109/bilans!F93</f>
        <v>#DIV/0!</v>
      </c>
      <c r="F13" s="195" t="e">
        <f>bilans!G109/bilans!G93</f>
        <v>#DIV/0!</v>
      </c>
      <c r="G13" s="195" t="e">
        <f>bilans!H109/bilans!H93</f>
        <v>#DIV/0!</v>
      </c>
      <c r="H13" s="195" t="e">
        <f>bilans!I109/bilans!I93</f>
        <v>#DIV/0!</v>
      </c>
      <c r="I13" s="195" t="e">
        <f>bilans!J109/bilans!J93</f>
        <v>#DIV/0!</v>
      </c>
      <c r="J13" s="195" t="e">
        <f>bilans!K109/bilans!K93</f>
        <v>#DIV/0!</v>
      </c>
      <c r="K13" s="196" t="e">
        <f>bilans!L109/bilans!L93</f>
        <v>#DIV/0!</v>
      </c>
    </row>
    <row r="14" spans="1:23" s="9" customFormat="1" ht="12.75" hidden="1" x14ac:dyDescent="0.2">
      <c r="A14" s="198"/>
      <c r="B14" s="195"/>
      <c r="C14" s="199"/>
      <c r="D14" s="199"/>
      <c r="E14" s="199"/>
      <c r="F14" s="199"/>
      <c r="G14" s="199"/>
      <c r="H14" s="200"/>
      <c r="I14" s="201"/>
      <c r="J14" s="200"/>
      <c r="K14" s="202"/>
    </row>
    <row r="15" spans="1:23" s="9" customFormat="1" ht="12.75" hidden="1" x14ac:dyDescent="0.2">
      <c r="A15" s="198"/>
      <c r="B15" s="195"/>
      <c r="C15" s="199"/>
      <c r="D15" s="199"/>
      <c r="E15" s="199"/>
      <c r="F15" s="199"/>
      <c r="G15" s="199"/>
      <c r="H15" s="200"/>
      <c r="I15" s="201"/>
      <c r="J15" s="200"/>
      <c r="K15" s="202"/>
    </row>
    <row r="16" spans="1:23" s="9" customFormat="1" ht="3.75" customHeight="1" x14ac:dyDescent="0.2">
      <c r="A16" s="190"/>
      <c r="B16" s="191"/>
      <c r="C16" s="192"/>
      <c r="D16" s="192"/>
      <c r="E16" s="192"/>
      <c r="F16" s="192"/>
      <c r="G16" s="192"/>
      <c r="H16" s="192"/>
      <c r="I16" s="192"/>
      <c r="J16" s="192"/>
      <c r="K16" s="193"/>
    </row>
    <row r="17" spans="1:17" s="9" customFormat="1" ht="20.100000000000001" customHeight="1" x14ac:dyDescent="0.2">
      <c r="A17" s="203" t="s">
        <v>70</v>
      </c>
      <c r="B17" s="204" t="e">
        <f>RZiS!D56/(RZiS!D7+RZiS!D24+RZiS!D33)</f>
        <v>#DIV/0!</v>
      </c>
      <c r="C17" s="204" t="e">
        <f>RZiS!F56/(RZiS!F7+RZiS!F24+RZiS!F33)</f>
        <v>#DIV/0!</v>
      </c>
      <c r="D17" s="204" t="e">
        <f>RZiS!G56/(RZiS!G7+RZiS!G24+RZiS!G33)</f>
        <v>#DIV/0!</v>
      </c>
      <c r="E17" s="204" t="e">
        <f>RZiS!H56/(RZiS!H7+RZiS!H24+RZiS!H33)</f>
        <v>#DIV/0!</v>
      </c>
      <c r="F17" s="204" t="e">
        <f>RZiS!I56/(RZiS!I7+RZiS!I24+RZiS!I33)</f>
        <v>#DIV/0!</v>
      </c>
      <c r="G17" s="204" t="e">
        <f>RZiS!J56/(RZiS!J7+RZiS!J24+RZiS!J33)</f>
        <v>#DIV/0!</v>
      </c>
      <c r="H17" s="204" t="e">
        <f>RZiS!K56/(RZiS!K7+RZiS!K24+RZiS!K33)</f>
        <v>#DIV/0!</v>
      </c>
      <c r="I17" s="204" t="e">
        <f>RZiS!L56/(RZiS!L7+RZiS!L24+RZiS!L33)</f>
        <v>#DIV/0!</v>
      </c>
      <c r="J17" s="204" t="e">
        <f>RZiS!M56/(RZiS!M7+RZiS!M24+RZiS!M33)</f>
        <v>#DIV/0!</v>
      </c>
      <c r="K17" s="205" t="e">
        <f>RZiS!N56/(RZiS!N7+RZiS!N24+RZiS!N33)</f>
        <v>#DIV/0!</v>
      </c>
      <c r="L17" s="9" t="e">
        <f>IF($D$17&lt;$M$32,$M$37,0)</f>
        <v>#DIV/0!</v>
      </c>
      <c r="M17" s="9" t="e">
        <f>IF(AND($D$17&gt;=$M$32,$D$17&lt;$N$32),$N$37,0)</f>
        <v>#DIV/0!</v>
      </c>
      <c r="N17" s="9" t="e">
        <f>IF(AND($D$17&gt;=$N$32,$D$17&lt;$O$32),$O$37,0)</f>
        <v>#DIV/0!</v>
      </c>
      <c r="O17" s="9" t="e">
        <f>IF($D$17&gt;=$O$32,$P$37,0)</f>
        <v>#DIV/0!</v>
      </c>
      <c r="P17" s="9" t="e">
        <f>$Q$32*(L17+M17+N17+O17)</f>
        <v>#DIV/0!</v>
      </c>
    </row>
    <row r="18" spans="1:17" s="9" customFormat="1" ht="20.100000000000001" hidden="1" customHeight="1" x14ac:dyDescent="0.2">
      <c r="A18" s="206"/>
      <c r="B18" s="204"/>
      <c r="C18" s="204"/>
      <c r="D18" s="204"/>
      <c r="E18" s="204"/>
      <c r="F18" s="204"/>
      <c r="G18" s="204"/>
      <c r="H18" s="204"/>
      <c r="I18" s="204"/>
      <c r="J18" s="204"/>
      <c r="K18" s="205"/>
      <c r="P18" s="9">
        <f>$Q$31*(L18+M18+N18+O18)</f>
        <v>0</v>
      </c>
    </row>
    <row r="19" spans="1:17" s="9" customFormat="1" ht="20.100000000000001" customHeight="1" x14ac:dyDescent="0.2">
      <c r="A19" s="206" t="s">
        <v>73</v>
      </c>
      <c r="B19" s="204" t="e">
        <f>RZiS!D56/bilans!C80</f>
        <v>#DIV/0!</v>
      </c>
      <c r="C19" s="204" t="e">
        <f>RZiS!F56/((bilans!D80+bilans!C80)/2)</f>
        <v>#DIV/0!</v>
      </c>
      <c r="D19" s="204" t="e">
        <f>RZiS!G56/((bilans!E80+bilans!D80)/2)</f>
        <v>#DIV/0!</v>
      </c>
      <c r="E19" s="204" t="e">
        <f>RZiS!H56/((bilans!F80+bilans!E80)/2)</f>
        <v>#DIV/0!</v>
      </c>
      <c r="F19" s="204" t="e">
        <f>RZiS!I56/((bilans!G80+bilans!F80)/2)</f>
        <v>#DIV/0!</v>
      </c>
      <c r="G19" s="204" t="e">
        <f>RZiS!J56/((bilans!H80+bilans!G80)/2)</f>
        <v>#DIV/0!</v>
      </c>
      <c r="H19" s="204" t="e">
        <f>RZiS!K56/((bilans!I80+bilans!H80)/2)</f>
        <v>#DIV/0!</v>
      </c>
      <c r="I19" s="204" t="e">
        <f>RZiS!L56/((bilans!J80+bilans!I80)/2)</f>
        <v>#DIV/0!</v>
      </c>
      <c r="J19" s="204" t="e">
        <f>RZiS!M56/((bilans!K80+bilans!J80)/2)</f>
        <v>#DIV/0!</v>
      </c>
      <c r="K19" s="205" t="e">
        <f>RZiS!N56/((bilans!L80+bilans!K80)/2)</f>
        <v>#DIV/0!</v>
      </c>
      <c r="L19" s="9" t="e">
        <f>IF($D$19&lt;$M$33,$M$37,0)</f>
        <v>#DIV/0!</v>
      </c>
      <c r="M19" s="9" t="e">
        <f>IF(AND($D$19&gt;=$M$33,$D$19&lt;$N$33),$N$37,0)</f>
        <v>#DIV/0!</v>
      </c>
      <c r="N19" s="9" t="e">
        <f>IF(AND($D$19&gt;=$N$33,$D$19&lt;$O$33),$O$37,0)</f>
        <v>#DIV/0!</v>
      </c>
      <c r="O19" s="9" t="e">
        <f>IF($D$19&gt;=$O$33,$P$37,0)</f>
        <v>#DIV/0!</v>
      </c>
      <c r="P19" s="9" t="e">
        <f>$Q$33*(L19+M19+N19+O19)</f>
        <v>#DIV/0!</v>
      </c>
    </row>
    <row r="20" spans="1:17" s="9" customFormat="1" ht="20.100000000000001" customHeight="1" x14ac:dyDescent="0.2">
      <c r="A20" s="207" t="s">
        <v>72</v>
      </c>
      <c r="B20" s="204" t="e">
        <f>RZiS!D56/bilans!C83</f>
        <v>#DIV/0!</v>
      </c>
      <c r="C20" s="204" t="e">
        <f>RZiS!F56/((bilans!D83+bilans!C83)/2)</f>
        <v>#DIV/0!</v>
      </c>
      <c r="D20" s="204" t="e">
        <f>RZiS!G56/((bilans!E83+bilans!D83)/2)</f>
        <v>#DIV/0!</v>
      </c>
      <c r="E20" s="204" t="e">
        <f>RZiS!H56/((bilans!F83+bilans!E83)/2)</f>
        <v>#DIV/0!</v>
      </c>
      <c r="F20" s="204" t="e">
        <f>RZiS!I56/((bilans!G83+bilans!F83)/2)</f>
        <v>#DIV/0!</v>
      </c>
      <c r="G20" s="204" t="e">
        <f>RZiS!J56/((bilans!H83+bilans!G83)/2)</f>
        <v>#DIV/0!</v>
      </c>
      <c r="H20" s="204" t="e">
        <f>RZiS!K56/((bilans!I83+bilans!H83)/2)</f>
        <v>#DIV/0!</v>
      </c>
      <c r="I20" s="204" t="e">
        <f>RZiS!L56/((bilans!J83+bilans!I83)/2)</f>
        <v>#DIV/0!</v>
      </c>
      <c r="J20" s="204" t="e">
        <f>RZiS!M56/((bilans!K83+bilans!J83)/2)</f>
        <v>#DIV/0!</v>
      </c>
      <c r="K20" s="205" t="e">
        <f>RZiS!N56/((bilans!L83+bilans!K83)/2)</f>
        <v>#DIV/0!</v>
      </c>
    </row>
    <row r="21" spans="1:17" s="9" customFormat="1" ht="12.75" hidden="1" x14ac:dyDescent="0.2">
      <c r="A21" s="208" t="s">
        <v>60</v>
      </c>
      <c r="B21" s="204"/>
      <c r="C21" s="209" t="e">
        <f t="shared" ref="C21:J21" si="0">C61/C69</f>
        <v>#DIV/0!</v>
      </c>
      <c r="D21" s="209" t="e">
        <f t="shared" si="0"/>
        <v>#DIV/0!</v>
      </c>
      <c r="E21" s="209" t="e">
        <f t="shared" si="0"/>
        <v>#DIV/0!</v>
      </c>
      <c r="F21" s="209" t="e">
        <f t="shared" si="0"/>
        <v>#DIV/0!</v>
      </c>
      <c r="G21" s="209" t="e">
        <f t="shared" si="0"/>
        <v>#DIV/0!</v>
      </c>
      <c r="H21" s="210" t="e">
        <f t="shared" si="0"/>
        <v>#DIV/0!</v>
      </c>
      <c r="I21" s="211" t="e">
        <f t="shared" si="0"/>
        <v>#DIV/0!</v>
      </c>
      <c r="J21" s="210" t="e">
        <f t="shared" si="0"/>
        <v>#DIV/0!</v>
      </c>
      <c r="K21" s="212" t="e">
        <f t="shared" ref="K21" si="1">K61/K69</f>
        <v>#DIV/0!</v>
      </c>
      <c r="L21" s="9" t="e">
        <f t="shared" ref="L21" si="2">IF($C21&lt;0.4,0,"nie dotyczy")</f>
        <v>#DIV/0!</v>
      </c>
      <c r="M21" s="9" t="e">
        <f t="shared" ref="M21" si="3">IF(AND($C21&gt;=0.4,$D21&lt;0.8),1,"nie dotyczy")</f>
        <v>#DIV/0!</v>
      </c>
      <c r="N21" s="9" t="e">
        <f t="shared" ref="N21" si="4">IF(AND($C21&gt;=0.8,$D21&lt;1.2),2,"nie dotyczy")</f>
        <v>#DIV/0!</v>
      </c>
      <c r="O21" s="9" t="e">
        <f t="shared" ref="O21" si="5">IF($C21&gt;=1.2,3,"nie dotyczy")</f>
        <v>#DIV/0!</v>
      </c>
      <c r="P21" s="9" t="e">
        <f>$Q$31*(L21+M21+N21+O21)</f>
        <v>#DIV/0!</v>
      </c>
    </row>
    <row r="22" spans="1:17" s="9" customFormat="1" ht="3.75" customHeight="1" x14ac:dyDescent="0.2">
      <c r="A22" s="190"/>
      <c r="B22" s="191"/>
      <c r="C22" s="192"/>
      <c r="D22" s="192"/>
      <c r="E22" s="192"/>
      <c r="F22" s="192"/>
      <c r="G22" s="192"/>
      <c r="H22" s="192"/>
      <c r="I22" s="192"/>
      <c r="J22" s="192"/>
      <c r="K22" s="193"/>
    </row>
    <row r="23" spans="1:17" s="9" customFormat="1" ht="20.100000000000001" customHeight="1" x14ac:dyDescent="0.2">
      <c r="A23" s="213" t="s">
        <v>61</v>
      </c>
      <c r="B23" s="214" t="e">
        <f>bilans!C42/bilans!C109</f>
        <v>#DIV/0!</v>
      </c>
      <c r="C23" s="214" t="e">
        <f>bilans!D42/bilans!D109</f>
        <v>#DIV/0!</v>
      </c>
      <c r="D23" s="214" t="e">
        <f>bilans!E42/bilans!E109</f>
        <v>#DIV/0!</v>
      </c>
      <c r="E23" s="214" t="e">
        <f>bilans!F42/bilans!F109</f>
        <v>#DIV/0!</v>
      </c>
      <c r="F23" s="214" t="e">
        <f>bilans!G42/bilans!G109</f>
        <v>#DIV/0!</v>
      </c>
      <c r="G23" s="214" t="e">
        <f>bilans!H42/bilans!H109</f>
        <v>#DIV/0!</v>
      </c>
      <c r="H23" s="214" t="e">
        <f>bilans!I42/bilans!I109</f>
        <v>#DIV/0!</v>
      </c>
      <c r="I23" s="214" t="e">
        <f>bilans!J42/bilans!J109</f>
        <v>#DIV/0!</v>
      </c>
      <c r="J23" s="214" t="e">
        <f>bilans!K42/bilans!K109</f>
        <v>#DIV/0!</v>
      </c>
      <c r="K23" s="215" t="e">
        <f>bilans!L42/bilans!L109</f>
        <v>#DIV/0!</v>
      </c>
      <c r="L23" s="9" t="e">
        <f>IF($D$23&lt;$M$34,$M$37,0)</f>
        <v>#DIV/0!</v>
      </c>
      <c r="M23" s="9" t="e">
        <f>IF(AND($D$23&gt;=$M$34,$D$23&lt;$N$34),$N$37,0)</f>
        <v>#DIV/0!</v>
      </c>
      <c r="N23" s="9" t="e">
        <f>IF(AND($D$23&gt;=$N$34,$D$23&lt;$O$34),$O$37,0)</f>
        <v>#DIV/0!</v>
      </c>
      <c r="O23" s="9" t="e">
        <f>IF($D$23&gt;=$O$34,$P$37,0)</f>
        <v>#DIV/0!</v>
      </c>
      <c r="P23" s="9" t="e">
        <f>$Q$34*(L23+M23+N23+O23)</f>
        <v>#DIV/0!</v>
      </c>
    </row>
    <row r="24" spans="1:17" s="9" customFormat="1" ht="20.100000000000001" customHeight="1" x14ac:dyDescent="0.2">
      <c r="A24" s="216" t="s">
        <v>62</v>
      </c>
      <c r="B24" s="217" t="e">
        <f>(bilans!C49+bilans!C62)/bilans!C109</f>
        <v>#DIV/0!</v>
      </c>
      <c r="C24" s="217" t="e">
        <f>(bilans!D49+bilans!D62)/bilans!D109</f>
        <v>#DIV/0!</v>
      </c>
      <c r="D24" s="217" t="e">
        <f>(bilans!E49+bilans!E62)/bilans!E109</f>
        <v>#DIV/0!</v>
      </c>
      <c r="E24" s="217" t="e">
        <f>(bilans!F49+bilans!F62)/bilans!F109</f>
        <v>#DIV/0!</v>
      </c>
      <c r="F24" s="217" t="e">
        <f>(bilans!G49+bilans!G62)/bilans!G109</f>
        <v>#DIV/0!</v>
      </c>
      <c r="G24" s="217" t="e">
        <f>(bilans!H49+bilans!H62)/bilans!H109</f>
        <v>#DIV/0!</v>
      </c>
      <c r="H24" s="217" t="e">
        <f>(bilans!I49+bilans!I62)/bilans!I109</f>
        <v>#DIV/0!</v>
      </c>
      <c r="I24" s="217" t="e">
        <f>(bilans!J49+bilans!J62)/bilans!J109</f>
        <v>#DIV/0!</v>
      </c>
      <c r="J24" s="217" t="e">
        <f>(bilans!K49+bilans!K62)/bilans!K109</f>
        <v>#DIV/0!</v>
      </c>
      <c r="K24" s="218" t="e">
        <f>(bilans!L49+bilans!L62)/bilans!L109</f>
        <v>#DIV/0!</v>
      </c>
      <c r="L24" s="9" t="e">
        <f>IF($D$24&lt;$M$35,$M$37,0)</f>
        <v>#DIV/0!</v>
      </c>
      <c r="M24" s="9" t="e">
        <f>IF(AND($D$24&gt;=$M$35,$D$24&lt;$N$35),$N$37,0)</f>
        <v>#DIV/0!</v>
      </c>
      <c r="N24" s="9" t="e">
        <f>IF(AND($D$24&gt;=$N$35,$D$24&lt;$O$35),$O$37,0)</f>
        <v>#DIV/0!</v>
      </c>
      <c r="O24" s="9" t="e">
        <f>IF($D$24&gt;=$O$35,$P$37,0)</f>
        <v>#DIV/0!</v>
      </c>
      <c r="P24" s="9" t="e">
        <f>$Q$35*(L24+M24+N24+O24)</f>
        <v>#DIV/0!</v>
      </c>
    </row>
    <row r="25" spans="1:17" ht="4.5" customHeight="1" x14ac:dyDescent="0.25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21"/>
      <c r="L25" s="9"/>
      <c r="M25" s="9"/>
      <c r="N25" s="9"/>
      <c r="O25" s="9"/>
      <c r="P25" s="9"/>
    </row>
    <row r="26" spans="1:17" ht="20.100000000000001" customHeight="1" x14ac:dyDescent="0.25">
      <c r="A26" s="222" t="s">
        <v>71</v>
      </c>
      <c r="B26" s="223" t="e">
        <f>(RZiS!D32+RZiS!D14)/(-przepływy!C24-przepływy!C34-przepływy!C35)</f>
        <v>#DIV/0!</v>
      </c>
      <c r="C26" s="223" t="e">
        <f>(RZiS!F32+RZiS!F14)/(-przepływy!D24-przepływy!D34-przepływy!D35)</f>
        <v>#DIV/0!</v>
      </c>
      <c r="D26" s="223" t="e">
        <f>(RZiS!G32+RZiS!G14)/(-przepływy!E24-przepływy!E34-przepływy!E35)</f>
        <v>#DIV/0!</v>
      </c>
      <c r="E26" s="223" t="e">
        <f>(RZiS!H32+RZiS!H14)/(-przepływy!F24-przepływy!F34-przepływy!F35)</f>
        <v>#DIV/0!</v>
      </c>
      <c r="F26" s="223" t="e">
        <f>(RZiS!I32+RZiS!I14)/(-przepływy!G24-przepływy!G34-przepływy!G35)</f>
        <v>#DIV/0!</v>
      </c>
      <c r="G26" s="223" t="e">
        <f>(RZiS!J32+RZiS!J14)/(-przepływy!H24-przepływy!H34-przepływy!H35)</f>
        <v>#DIV/0!</v>
      </c>
      <c r="H26" s="223" t="e">
        <f>(RZiS!K32+RZiS!K14)/(-przepływy!I24-przepływy!I34-przepływy!I35)</f>
        <v>#DIV/0!</v>
      </c>
      <c r="I26" s="223" t="e">
        <f>(RZiS!L32+RZiS!L14)/(-przepływy!J24-przepływy!J34-przepływy!J35)</f>
        <v>#DIV/0!</v>
      </c>
      <c r="J26" s="223" t="e">
        <f>(RZiS!M32+RZiS!M14)/(-przepływy!K24-przepływy!K34-przepływy!K35)</f>
        <v>#DIV/0!</v>
      </c>
      <c r="K26" s="224" t="e">
        <f>(RZiS!N32+RZiS!N14)/(-przepływy!L24-przepływy!L34-przepływy!L35)</f>
        <v>#DIV/0!</v>
      </c>
      <c r="L26" s="9" t="e">
        <f>IF($D$26&lt;$M$36,$M$37,0)</f>
        <v>#DIV/0!</v>
      </c>
      <c r="M26" s="9" t="e">
        <f>IF(AND($D$26&gt;=$M$36,$D$26&lt;$N$36),$N$37,0)</f>
        <v>#DIV/0!</v>
      </c>
      <c r="N26" s="9" t="e">
        <f>IF(AND($D$26&gt;=$N$36,$D$26&lt;$O$36),$O$37,0)</f>
        <v>#DIV/0!</v>
      </c>
      <c r="O26" s="9" t="e">
        <f>IF($D$26&gt;=$O$36,$P$37,0)</f>
        <v>#DIV/0!</v>
      </c>
      <c r="P26" s="9" t="e">
        <f>$Q$36*(L26+M26+N26+O26)</f>
        <v>#DIV/0!</v>
      </c>
    </row>
    <row r="27" spans="1:17" ht="20.100000000000001" customHeight="1" x14ac:dyDescent="0.25">
      <c r="A27" s="225" t="s">
        <v>331</v>
      </c>
      <c r="B27" s="226">
        <f>RZiS!D32+RZiS!D33+RZiS!D14+przepływy!C24+przepływy!C34+przepływy!C35+przepływy!C31+przepływy!C32+przepływy!C36+przepływy!C37+przepływy!C39-(RZiS!D32+RZiS!D33-RZiS!D41)*RZiS!$E$2+przepływy!C43</f>
        <v>0</v>
      </c>
      <c r="C27" s="226">
        <f>RZiS!F32+RZiS!F33+RZiS!F14+przepływy!D24+przepływy!D34+przepływy!D35+przepływy!D31+przepływy!D32+przepływy!D36+przepływy!D37+przepływy!D39-(RZiS!F32+RZiS!F33-RZiS!F41)*RZiS!$E$2+przepływy!D43-(bilans!D43-bilans!C43)-(bilans!D49-bilans!C49)+(bilans!D120-bilans!C120)+(bilans!D123-bilans!C123)+(bilans!D124-bilans!C124)+(bilans!D125-bilans!C125)+(bilans!D126-bilans!C126)+(bilans!D127-bilans!C127)+(bilans!D128-bilans!C128)</f>
        <v>0</v>
      </c>
      <c r="D27" s="226">
        <f>RZiS!G32+RZiS!G33+RZiS!G14+przepływy!E24+przepływy!E34+przepływy!E35+przepływy!E31+przepływy!E32+przepływy!E36+przepływy!E37+przepływy!E39-(RZiS!G32+RZiS!G33-RZiS!G41)*RZiS!$E$2+przepływy!E43-(bilans!E43-bilans!D43)-(bilans!E49-bilans!D49)+(bilans!E120-bilans!D120)+(bilans!E123-bilans!D123)+(bilans!E124-bilans!D124)+(bilans!E125-bilans!D125)+(bilans!E126-bilans!D126)+(bilans!E127-bilans!D127)+(bilans!E128-bilans!D128)</f>
        <v>0</v>
      </c>
      <c r="E27" s="226">
        <f>RZiS!H32+RZiS!H33+RZiS!H14+przepływy!F24+przepływy!F34+przepływy!F35+przepływy!F31+przepływy!F32+przepływy!F36+przepływy!F37+przepływy!F39-(RZiS!H32+RZiS!H33-RZiS!H41)*RZiS!$E$2+przepływy!F43-(bilans!F43-bilans!E43)-(bilans!F49-bilans!E49)+(bilans!F120-bilans!E120)+(bilans!F123-bilans!E123)+(bilans!F124-bilans!E124)+(bilans!F125-bilans!E125)+(bilans!F126-bilans!E126)+(bilans!F127-bilans!E127)+(bilans!F128-bilans!E128)</f>
        <v>0</v>
      </c>
      <c r="F27" s="226">
        <f>RZiS!I32+RZiS!I33+RZiS!I14+przepływy!G24+przepływy!G34+przepływy!G35+przepływy!G31+przepływy!G32+przepływy!G36+przepływy!G37+przepływy!G39-(RZiS!I32+RZiS!I33-RZiS!I41)*RZiS!$E$2+przepływy!G43-(bilans!G43-bilans!F43)-(bilans!G49-bilans!F49)+(bilans!G120-bilans!F120)+(bilans!G123-bilans!F123)+(bilans!G124-bilans!F124)+(bilans!G125-bilans!F125)+(bilans!G126-bilans!F126)+(bilans!G127-bilans!F127)+(bilans!G128-bilans!F128)</f>
        <v>0</v>
      </c>
      <c r="G27" s="226">
        <f>RZiS!J32+RZiS!J33+RZiS!J14+przepływy!H24+przepływy!H34+przepływy!H35+przepływy!H31+przepływy!H32+przepływy!H36+przepływy!H37+przepływy!H39-(RZiS!J32+RZiS!J33-RZiS!J41)*RZiS!$E$2+przepływy!H43-(bilans!H43-bilans!G43)-(bilans!H49-bilans!G49)+(bilans!H120-bilans!G120)+(bilans!H123-bilans!G123)+(bilans!H124-bilans!G124)+(bilans!H125-bilans!G125)+(bilans!H126-bilans!G126)+(bilans!H127-bilans!G127)+(bilans!H128-bilans!G128)</f>
        <v>0</v>
      </c>
      <c r="H27" s="226">
        <f>RZiS!K32+RZiS!K33+RZiS!K14+przepływy!I24+przepływy!I34+przepływy!I35+przepływy!I31+przepływy!I32+przepływy!I36+przepływy!I37+przepływy!I39-(RZiS!K32+RZiS!K33-RZiS!K41)*RZiS!$E$2+przepływy!I43-(bilans!I43-bilans!H43)-(bilans!I49-bilans!H49)+(bilans!I120-bilans!H120)+(bilans!I123-bilans!H123)+(bilans!I124-bilans!H124)+(bilans!I125-bilans!H125)+(bilans!I126-bilans!H126)+(bilans!I127-bilans!H127)+(bilans!I128-bilans!H128)</f>
        <v>0</v>
      </c>
      <c r="I27" s="226">
        <f>RZiS!L32+RZiS!L33+RZiS!L14+przepływy!J24+przepływy!J34+przepływy!J35+przepływy!J31+przepływy!J32+przepływy!J36+przepływy!J37+przepływy!J39-(RZiS!L32+RZiS!L33-RZiS!L41)*RZiS!$E$2+przepływy!J43-(bilans!J43-bilans!I43)-(bilans!J49-bilans!I49)+(bilans!J120-bilans!I120)+(bilans!J123-bilans!I123)+(bilans!J124-bilans!I124)+(bilans!J125-bilans!I125)+(bilans!J126-bilans!I126)+(bilans!J127-bilans!I127)+(bilans!J128-bilans!I128)</f>
        <v>0</v>
      </c>
      <c r="J27" s="226">
        <f>RZiS!M32+RZiS!M33+RZiS!M14+przepływy!K24+przepływy!K34+przepływy!K35+przepływy!K31+przepływy!K32+przepływy!K36+przepływy!K37+przepływy!K39-(RZiS!M32+RZiS!M33-RZiS!M41)*RZiS!$E$2+przepływy!K43-(bilans!K43-bilans!J43)-(bilans!K49-bilans!J49)+(bilans!K120-bilans!J120)+(bilans!K123-bilans!J123)+(bilans!K124-bilans!J124)+(bilans!K125-bilans!J125)+(bilans!K126-bilans!J126)+(bilans!K127-bilans!J127)+(bilans!K128-bilans!J128)</f>
        <v>0</v>
      </c>
      <c r="K27" s="226">
        <f>RZiS!N32+RZiS!N33+RZiS!N14+przepływy!L24+przepływy!L34+przepływy!L35+przepływy!L31+przepływy!L32+przepływy!L36+przepływy!L37+przepływy!L39-(RZiS!N32+RZiS!N33-RZiS!N41)*RZiS!$E$2+przepływy!L43-(bilans!L43-bilans!K43)-(bilans!L49-bilans!K49)+(bilans!L120-bilans!K120)+(bilans!L123-bilans!K123)+(bilans!L124-bilans!K124)+(bilans!L125-bilans!K125)+(bilans!L126-bilans!K126)+(bilans!L127-bilans!K127)+(bilans!L128-bilans!K128)</f>
        <v>0</v>
      </c>
      <c r="L27" s="9"/>
      <c r="M27" s="9"/>
      <c r="N27" s="9"/>
      <c r="O27" s="9"/>
    </row>
    <row r="29" spans="1:17" ht="15.75" x14ac:dyDescent="0.25">
      <c r="A29" t="s">
        <v>401</v>
      </c>
      <c r="B29" s="524" t="e">
        <f>P5+P17+P19+P23+P24+P26</f>
        <v>#DIV/0!</v>
      </c>
      <c r="C29" s="525" t="e">
        <f>P39+P40+P46+P42+P47+P49</f>
        <v>#DIV/0!</v>
      </c>
    </row>
    <row r="30" spans="1:17" ht="15.75" thickBot="1" x14ac:dyDescent="0.3">
      <c r="A30" s="229" t="s">
        <v>478</v>
      </c>
      <c r="B30">
        <f>'załącznik nr 1 porównawczy'!B13</f>
        <v>2023</v>
      </c>
      <c r="C30" s="333">
        <v>1</v>
      </c>
      <c r="Q30" t="s">
        <v>406</v>
      </c>
    </row>
    <row r="31" spans="1:17" x14ac:dyDescent="0.25">
      <c r="A31" t="s">
        <v>402</v>
      </c>
      <c r="C31" s="333"/>
      <c r="L31" s="509" t="s">
        <v>52</v>
      </c>
      <c r="M31" s="510">
        <v>0.15</v>
      </c>
      <c r="N31" s="510">
        <v>0.3</v>
      </c>
      <c r="O31" s="510">
        <v>0.5</v>
      </c>
      <c r="P31" s="511"/>
      <c r="Q31" s="512">
        <v>0.5</v>
      </c>
    </row>
    <row r="32" spans="1:17" x14ac:dyDescent="0.25">
      <c r="L32" s="513" t="s">
        <v>70</v>
      </c>
      <c r="M32" s="514">
        <v>0</v>
      </c>
      <c r="N32" s="514">
        <v>0.02</v>
      </c>
      <c r="O32" s="514">
        <v>0.1</v>
      </c>
      <c r="P32" s="515"/>
      <c r="Q32" s="516">
        <v>0.5</v>
      </c>
    </row>
    <row r="33" spans="12:17" x14ac:dyDescent="0.25">
      <c r="L33" s="517" t="s">
        <v>73</v>
      </c>
      <c r="M33" s="514">
        <v>0</v>
      </c>
      <c r="N33" s="514">
        <v>0.02</v>
      </c>
      <c r="O33" s="514">
        <v>0.1</v>
      </c>
      <c r="P33" s="515"/>
      <c r="Q33" s="516">
        <v>0.5</v>
      </c>
    </row>
    <row r="34" spans="12:17" x14ac:dyDescent="0.25">
      <c r="L34" s="518" t="s">
        <v>61</v>
      </c>
      <c r="M34" s="514">
        <v>0.4</v>
      </c>
      <c r="N34" s="514">
        <v>0.8</v>
      </c>
      <c r="O34" s="514">
        <v>1.2</v>
      </c>
      <c r="P34" s="515"/>
      <c r="Q34" s="516">
        <v>0.5</v>
      </c>
    </row>
    <row r="35" spans="12:17" x14ac:dyDescent="0.25">
      <c r="L35" s="519" t="s">
        <v>62</v>
      </c>
      <c r="M35" s="514">
        <v>0.3</v>
      </c>
      <c r="N35" s="514">
        <v>0.6</v>
      </c>
      <c r="O35" s="514">
        <v>1</v>
      </c>
      <c r="P35" s="515"/>
      <c r="Q35" s="516">
        <v>0.5</v>
      </c>
    </row>
    <row r="36" spans="12:17" x14ac:dyDescent="0.25">
      <c r="L36" s="520" t="s">
        <v>71</v>
      </c>
      <c r="M36" s="514">
        <v>0.8</v>
      </c>
      <c r="N36" s="514">
        <v>1</v>
      </c>
      <c r="O36" s="514">
        <v>1.2</v>
      </c>
      <c r="P36" s="515"/>
      <c r="Q36" s="516">
        <v>0.5</v>
      </c>
    </row>
    <row r="37" spans="12:17" ht="15.75" thickBot="1" x14ac:dyDescent="0.3">
      <c r="L37" s="521" t="s">
        <v>407</v>
      </c>
      <c r="M37" s="522">
        <v>0</v>
      </c>
      <c r="N37" s="522">
        <v>1</v>
      </c>
      <c r="O37" s="522">
        <v>2</v>
      </c>
      <c r="P37" s="522">
        <v>3</v>
      </c>
      <c r="Q37" s="523">
        <v>0.5</v>
      </c>
    </row>
    <row r="39" spans="12:17" x14ac:dyDescent="0.25">
      <c r="L39" s="9" t="e">
        <f>IF($E$5&lt;$M$31,$M$37,0)</f>
        <v>#DIV/0!</v>
      </c>
      <c r="M39" s="9" t="e">
        <f>IF(AND($E$5&gt;=$M$31,$E$5&lt;$N$31),$N$37,0)</f>
        <v>#DIV/0!</v>
      </c>
      <c r="N39" s="9" t="e">
        <f>IF(AND($E$5&gt;=$N$31,$E$5&lt;$O$31),$O$37,0)</f>
        <v>#DIV/0!</v>
      </c>
      <c r="O39" s="9" t="e">
        <f>IF($E$5&gt;=$O$31,$P$37,0)</f>
        <v>#DIV/0!</v>
      </c>
      <c r="P39" s="9" t="e">
        <f>$Q$31*(L39+M39+N39+O39)</f>
        <v>#DIV/0!</v>
      </c>
    </row>
    <row r="40" spans="12:17" x14ac:dyDescent="0.25">
      <c r="L40" s="9" t="e">
        <f>IF($E$17&lt;$M$32,$M$37,0)</f>
        <v>#DIV/0!</v>
      </c>
      <c r="M40" s="9" t="e">
        <f>IF(AND($E$17&gt;=$M$32,$E$17&lt;$N$32),$N$37,0)</f>
        <v>#DIV/0!</v>
      </c>
      <c r="N40" s="9" t="e">
        <f>IF(AND($E$17&gt;=$N$32,$E$17&lt;$O$32),$O$37,0)</f>
        <v>#DIV/0!</v>
      </c>
      <c r="O40" s="9" t="e">
        <f>IF($E$17&gt;=$O$32,$P$37,0)</f>
        <v>#DIV/0!</v>
      </c>
      <c r="P40" s="9" t="e">
        <f>$Q$32*(L40+M40+N40+O40)</f>
        <v>#DIV/0!</v>
      </c>
    </row>
    <row r="41" spans="12:17" x14ac:dyDescent="0.25">
      <c r="L41" s="9"/>
      <c r="M41" s="9"/>
      <c r="N41" s="9"/>
      <c r="O41" s="9"/>
      <c r="P41" s="9"/>
    </row>
    <row r="42" spans="12:17" x14ac:dyDescent="0.25">
      <c r="L42" s="9" t="e">
        <f>IF($E$19&lt;$M$33,$M$37,0)</f>
        <v>#DIV/0!</v>
      </c>
      <c r="M42" s="9" t="e">
        <f>IF(AND($E$19&gt;=$M$33,$E$19&lt;$N$33),$N$37,0)</f>
        <v>#DIV/0!</v>
      </c>
      <c r="N42" s="9" t="e">
        <f>IF(AND($E$19&gt;=$N$33,$E$19&lt;$O$33),$O$37,0)</f>
        <v>#DIV/0!</v>
      </c>
      <c r="O42" s="9" t="e">
        <f>IF($E$19&gt;=$O$33,$P$37,0)</f>
        <v>#DIV/0!</v>
      </c>
      <c r="P42" s="9" t="e">
        <f>$Q$33*(L42+M42+N42+O42)</f>
        <v>#DIV/0!</v>
      </c>
    </row>
    <row r="43" spans="12:17" x14ac:dyDescent="0.25">
      <c r="L43" s="9"/>
      <c r="M43" s="9"/>
      <c r="N43" s="9"/>
      <c r="O43" s="9"/>
      <c r="P43" s="9"/>
    </row>
    <row r="44" spans="12:17" x14ac:dyDescent="0.25">
      <c r="L44" s="9"/>
      <c r="M44" s="9"/>
      <c r="N44" s="9"/>
      <c r="O44" s="9"/>
      <c r="P44" s="9"/>
    </row>
    <row r="45" spans="12:17" x14ac:dyDescent="0.25">
      <c r="L45" s="9"/>
      <c r="M45" s="9"/>
      <c r="N45" s="9"/>
      <c r="O45" s="9"/>
      <c r="P45" s="9"/>
    </row>
    <row r="46" spans="12:17" x14ac:dyDescent="0.25">
      <c r="L46" s="9" t="e">
        <f>IF($E$23&lt;$M$34,$M$37,0)</f>
        <v>#DIV/0!</v>
      </c>
      <c r="M46" s="9" t="e">
        <f>IF(AND($E$23&gt;=$M$34,$E$23&lt;$N$34),$N$37,0)</f>
        <v>#DIV/0!</v>
      </c>
      <c r="N46" s="9" t="e">
        <f>IF(AND($E$23&gt;=$N$34,$E$23&lt;$O$34),$O$37,0)</f>
        <v>#DIV/0!</v>
      </c>
      <c r="O46" s="9" t="e">
        <f>IF($E$23&gt;=$O$34,$P$37,0)</f>
        <v>#DIV/0!</v>
      </c>
      <c r="P46" s="9" t="e">
        <f>$Q$34*(L46+M46+N46+O46)</f>
        <v>#DIV/0!</v>
      </c>
    </row>
    <row r="47" spans="12:17" x14ac:dyDescent="0.25">
      <c r="L47" s="9" t="e">
        <f>IF($E$24&lt;$M$35,$M$37,0)</f>
        <v>#DIV/0!</v>
      </c>
      <c r="M47" s="9" t="e">
        <f>IF(AND($E$24&gt;=$M$35,$E$24&lt;$N$35),$N$37,0)</f>
        <v>#DIV/0!</v>
      </c>
      <c r="N47" s="9" t="e">
        <f>IF(AND($E$24&gt;=$N$35,$E$24&lt;$O$35),$O$37,0)</f>
        <v>#DIV/0!</v>
      </c>
      <c r="O47" s="9" t="e">
        <f>IF($E$24&gt;=$O$35,$P$37,0)</f>
        <v>#DIV/0!</v>
      </c>
      <c r="P47" s="9" t="e">
        <f>$Q$35*(L47+M47+N47+O47)</f>
        <v>#DIV/0!</v>
      </c>
    </row>
    <row r="48" spans="12:17" x14ac:dyDescent="0.25">
      <c r="L48" s="9"/>
      <c r="M48" s="9"/>
      <c r="N48" s="9"/>
      <c r="O48" s="9"/>
      <c r="P48" s="9"/>
    </row>
    <row r="49" spans="12:16" x14ac:dyDescent="0.25">
      <c r="L49" s="9" t="e">
        <f>IF($E$26&lt;$M$36,$M$37,0)</f>
        <v>#DIV/0!</v>
      </c>
      <c r="M49" s="9" t="e">
        <f>IF(AND($E$26&gt;=$M$36,$E$26&lt;$N$36),$N$37,0)</f>
        <v>#DIV/0!</v>
      </c>
      <c r="N49" s="9" t="e">
        <f>IF(AND($E$26&gt;=$N$36,$E$26&lt;$O$36),$O$37,0)</f>
        <v>#DIV/0!</v>
      </c>
      <c r="O49" s="9" t="e">
        <f>IF($E$26&gt;=$O$36,$P$37,0)</f>
        <v>#DIV/0!</v>
      </c>
      <c r="P49" s="9" t="e">
        <f>$Q$36*(L49+M49+N49+O49)</f>
        <v>#DIV/0!</v>
      </c>
    </row>
  </sheetData>
  <sheetProtection algorithmName="SHA-512" hashValue="J84CecC1NVDcOyLj/hIMFUBj1yCU3xZrj25FW3XuuswVEPgHrms94IKyhtdmnAR94/8y+/pxQGXWHLaqv32ZFg==" saltValue="UFdyGRlgeuXd31NGAeGVMA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7</vt:i4>
      </vt:variant>
    </vt:vector>
  </HeadingPairs>
  <TitlesOfParts>
    <vt:vector size="17" baseType="lpstr">
      <vt:lpstr>załącznik nr 1 porównawczy</vt:lpstr>
      <vt:lpstr>dynamika</vt:lpstr>
      <vt:lpstr>RZiS</vt:lpstr>
      <vt:lpstr>bilans</vt:lpstr>
      <vt:lpstr>Parametry nakładów i pożyczki</vt:lpstr>
      <vt:lpstr>plan sprzedaży i zakupów </vt:lpstr>
      <vt:lpstr>zmiana kosztów eksploatacyjnych</vt:lpstr>
      <vt:lpstr>przepływy</vt:lpstr>
      <vt:lpstr>wskaźniki</vt:lpstr>
      <vt:lpstr>PARAMETRY POZYCZKI</vt:lpstr>
      <vt:lpstr>bilans!Obszar_wydruku</vt:lpstr>
      <vt:lpstr>'Parametry nakładów i pożyczki'!Obszar_wydruku</vt:lpstr>
      <vt:lpstr>'plan sprzedaży i zakupów '!Obszar_wydruku</vt:lpstr>
      <vt:lpstr>przepływy!Obszar_wydruku</vt:lpstr>
      <vt:lpstr>RZiS!Obszar_wydruku</vt:lpstr>
      <vt:lpstr>'załącznik nr 1 porównawczy'!Obszar_wydruku</vt:lpstr>
      <vt:lpstr>'zmiana kosztów eksploatacyjnych'!Obszar_wydruku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2021-12-09T10:37:55Z</cp:lastPrinted>
  <dcterms:created xsi:type="dcterms:W3CDTF">2016-12-07T07:27:57Z</dcterms:created>
  <dcterms:modified xsi:type="dcterms:W3CDTF">2024-09-20T08:29:39Z</dcterms:modified>
</cp:coreProperties>
</file>